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Исходные данные" sheetId="1" r:id="rId1"/>
    <sheet name="Подтверждение соответствия" sheetId="4" r:id="rId2"/>
    <sheet name="1" sheetId="5" r:id="rId3"/>
  </sheets>
  <definedNames>
    <definedName name="_xlnm._FilterDatabase" localSheetId="1" hidden="1">'Подтверждение соответствия'!$A$1:$I$110</definedName>
    <definedName name="_xlnm.Print_Area" localSheetId="0">'Исходные данные'!$A$1:$H$75</definedName>
    <definedName name="_xlnm.Print_Area" localSheetId="1">'Подтверждение соответствия'!$A$1:$H$110</definedName>
  </definedNames>
  <calcPr calcId="152511"/>
</workbook>
</file>

<file path=xl/calcChain.xml><?xml version="1.0" encoding="utf-8"?>
<calcChain xmlns="http://schemas.openxmlformats.org/spreadsheetml/2006/main">
  <c r="I49" i="4" l="1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48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24" i="4"/>
  <c r="F110" i="4"/>
  <c r="A110" i="4"/>
  <c r="B95" i="4" l="1"/>
  <c r="A24" i="4"/>
  <c r="A20" i="4"/>
  <c r="A18" i="4"/>
  <c r="A14" i="4"/>
  <c r="A17" i="4"/>
  <c r="A16" i="4"/>
  <c r="A15" i="4"/>
  <c r="A13" i="4"/>
  <c r="A11" i="4"/>
  <c r="A24" i="1"/>
  <c r="A8" i="1"/>
  <c r="C33" i="4" l="1"/>
  <c r="C34" i="4"/>
  <c r="C35" i="4"/>
  <c r="C36" i="4"/>
  <c r="C37" i="4"/>
  <c r="E28" i="4"/>
  <c r="E29" i="4"/>
  <c r="E30" i="4"/>
  <c r="E31" i="4"/>
  <c r="E32" i="4"/>
  <c r="C32" i="4"/>
  <c r="E33" i="4"/>
  <c r="B38" i="4"/>
  <c r="E5" i="4" l="1"/>
  <c r="A8" i="4"/>
  <c r="E4" i="4" l="1"/>
  <c r="B37" i="1" l="1"/>
  <c r="C97" i="4" l="1"/>
  <c r="E97" i="4" s="1"/>
  <c r="G97" i="4" s="1"/>
  <c r="G94" i="4"/>
  <c r="G93" i="4"/>
  <c r="G92" i="4"/>
  <c r="G91" i="4"/>
  <c r="G90" i="4"/>
  <c r="G89" i="4"/>
  <c r="G88" i="4"/>
  <c r="G87" i="4"/>
  <c r="G86" i="4"/>
  <c r="G85" i="4"/>
  <c r="E94" i="4"/>
  <c r="E93" i="4"/>
  <c r="E92" i="4"/>
  <c r="E91" i="4"/>
  <c r="E90" i="4"/>
  <c r="E89" i="4"/>
  <c r="E88" i="4"/>
  <c r="E87" i="4"/>
  <c r="E86" i="4"/>
  <c r="E85" i="4"/>
  <c r="C86" i="4"/>
  <c r="C87" i="4"/>
  <c r="C88" i="4"/>
  <c r="C89" i="4"/>
  <c r="C90" i="4"/>
  <c r="C91" i="4"/>
  <c r="C92" i="4"/>
  <c r="C93" i="4"/>
  <c r="C94" i="4"/>
  <c r="C85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F101" i="4" l="1"/>
  <c r="H101" i="4" s="1"/>
  <c r="B101" i="4"/>
  <c r="D101" i="4" s="1"/>
  <c r="B99" i="4"/>
  <c r="B69" i="4"/>
  <c r="C69" i="4"/>
  <c r="B53" i="4"/>
  <c r="C53" i="4"/>
  <c r="D53" i="4"/>
  <c r="F53" i="4"/>
  <c r="B54" i="4"/>
  <c r="C54" i="4"/>
  <c r="D54" i="4"/>
  <c r="F54" i="4"/>
  <c r="B55" i="4"/>
  <c r="C55" i="4"/>
  <c r="D55" i="4"/>
  <c r="F55" i="4"/>
  <c r="B56" i="4"/>
  <c r="C56" i="4"/>
  <c r="D56" i="4"/>
  <c r="F56" i="4"/>
  <c r="B57" i="4"/>
  <c r="C57" i="4"/>
  <c r="D57" i="4"/>
  <c r="F57" i="4"/>
  <c r="B58" i="4"/>
  <c r="C58" i="4"/>
  <c r="D58" i="4"/>
  <c r="F58" i="4"/>
  <c r="B59" i="4"/>
  <c r="C59" i="4"/>
  <c r="D59" i="4"/>
  <c r="F59" i="4"/>
  <c r="B60" i="4"/>
  <c r="C60" i="4"/>
  <c r="D60" i="4"/>
  <c r="F60" i="4"/>
  <c r="B61" i="4"/>
  <c r="C61" i="4"/>
  <c r="D61" i="4"/>
  <c r="F61" i="4"/>
  <c r="B62" i="4"/>
  <c r="C62" i="4"/>
  <c r="D62" i="4"/>
  <c r="F62" i="4"/>
  <c r="B63" i="4"/>
  <c r="C63" i="4"/>
  <c r="D63" i="4"/>
  <c r="F63" i="4"/>
  <c r="B64" i="4"/>
  <c r="C64" i="4"/>
  <c r="D64" i="4"/>
  <c r="F64" i="4"/>
  <c r="B65" i="4"/>
  <c r="C65" i="4"/>
  <c r="D65" i="4"/>
  <c r="F65" i="4"/>
  <c r="B66" i="4"/>
  <c r="C66" i="4"/>
  <c r="D66" i="4"/>
  <c r="F66" i="4"/>
  <c r="B67" i="4"/>
  <c r="C67" i="4"/>
  <c r="D67" i="4"/>
  <c r="E67" i="4"/>
  <c r="F67" i="4"/>
  <c r="B68" i="4"/>
  <c r="C68" i="4"/>
  <c r="D68" i="4"/>
  <c r="E68" i="4"/>
  <c r="F68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C52" i="4"/>
  <c r="D52" i="4"/>
  <c r="F52" i="4"/>
  <c r="B52" i="4"/>
  <c r="G69" i="4"/>
  <c r="H69" i="4" s="1"/>
  <c r="G37" i="4"/>
  <c r="G36" i="4"/>
  <c r="G35" i="4"/>
  <c r="G34" i="4"/>
  <c r="G33" i="4"/>
  <c r="G32" i="4"/>
  <c r="G31" i="4"/>
  <c r="G30" i="4"/>
  <c r="G29" i="4"/>
  <c r="G28" i="4"/>
  <c r="E37" i="4"/>
  <c r="E36" i="4"/>
  <c r="E35" i="4"/>
  <c r="E34" i="4"/>
  <c r="C29" i="4"/>
  <c r="C30" i="4"/>
  <c r="C31" i="4"/>
  <c r="C28" i="4"/>
  <c r="A22" i="4"/>
  <c r="A21" i="4"/>
  <c r="B39" i="4" l="1"/>
  <c r="E103" i="4"/>
  <c r="A105" i="4" s="1"/>
  <c r="D44" i="4"/>
  <c r="B44" i="4"/>
  <c r="G70" i="4"/>
  <c r="H70" i="4" s="1"/>
  <c r="G68" i="4"/>
  <c r="H68" i="4" s="1"/>
  <c r="G62" i="4"/>
  <c r="H62" i="4" s="1"/>
  <c r="G60" i="4"/>
  <c r="H60" i="4" s="1"/>
  <c r="G58" i="4"/>
  <c r="H58" i="4" s="1"/>
  <c r="G57" i="4"/>
  <c r="H57" i="4" s="1"/>
  <c r="G54" i="4"/>
  <c r="G53" i="4"/>
  <c r="H53" i="4" s="1"/>
  <c r="G71" i="4"/>
  <c r="H71" i="4" s="1"/>
  <c r="G63" i="4"/>
  <c r="H63" i="4" s="1"/>
  <c r="G55" i="4"/>
  <c r="H55" i="4" s="1"/>
  <c r="L68" i="4"/>
  <c r="G61" i="4"/>
  <c r="H61" i="4" s="1"/>
  <c r="G56" i="4"/>
  <c r="H56" i="4" s="1"/>
  <c r="L69" i="4"/>
  <c r="A74" i="4" s="1"/>
  <c r="G67" i="4"/>
  <c r="H67" i="4" s="1"/>
  <c r="G64" i="4"/>
  <c r="H64" i="4" s="1"/>
  <c r="G66" i="4"/>
  <c r="G65" i="4"/>
  <c r="H65" i="4" s="1"/>
  <c r="G59" i="4"/>
  <c r="H59" i="4" s="1"/>
  <c r="G52" i="4"/>
  <c r="B41" i="4"/>
  <c r="A19" i="4"/>
  <c r="A12" i="4"/>
  <c r="A10" i="4"/>
  <c r="A9" i="4"/>
  <c r="A73" i="4" l="1"/>
  <c r="H66" i="4"/>
  <c r="H54" i="4"/>
  <c r="H52" i="4"/>
  <c r="D78" i="4"/>
  <c r="F44" i="4"/>
  <c r="L70" i="4"/>
  <c r="A46" i="4" l="1"/>
  <c r="B78" i="4"/>
  <c r="F78" i="4" s="1"/>
  <c r="A80" i="4" s="1"/>
  <c r="L71" i="4"/>
  <c r="A75" i="4" s="1"/>
  <c r="A107" i="4" l="1"/>
  <c r="A17" i="1" l="1"/>
</calcChain>
</file>

<file path=xl/sharedStrings.xml><?xml version="1.0" encoding="utf-8"?>
<sst xmlns="http://schemas.openxmlformats.org/spreadsheetml/2006/main" count="158" uniqueCount="71">
  <si>
    <t>№ п/п</t>
  </si>
  <si>
    <r>
      <t>X</t>
    </r>
    <r>
      <rPr>
        <vertAlign val="subscript"/>
        <sz val="12"/>
        <color theme="1"/>
        <rFont val="Times New Roman"/>
        <family val="1"/>
        <charset val="204"/>
      </rPr>
      <t>i</t>
    </r>
  </si>
  <si>
    <t>Определяемый показатель</t>
  </si>
  <si>
    <t>Единица измерения</t>
  </si>
  <si>
    <t>Объект</t>
  </si>
  <si>
    <t>Значение показателя в образце для контроля</t>
  </si>
  <si>
    <t>Погоешность аттестованного значения</t>
  </si>
  <si>
    <t>фотоколориметрический по ГОСТ 22387.2-2014</t>
  </si>
  <si>
    <t>Результаты параллельных определений образца для контроля</t>
  </si>
  <si>
    <r>
      <t>S</t>
    </r>
    <r>
      <rPr>
        <vertAlign val="subscript"/>
        <sz val="12"/>
        <color theme="1"/>
        <rFont val="Times New Roman"/>
        <family val="1"/>
        <charset val="204"/>
      </rPr>
      <t>rл</t>
    </r>
  </si>
  <si>
    <t>Результаты параллельных определений рабочей пробы</t>
  </si>
  <si>
    <t xml:space="preserve"> —</t>
  </si>
  <si>
    <r>
      <t>Норматив контроля K</t>
    </r>
    <r>
      <rPr>
        <vertAlign val="subscript"/>
        <sz val="12"/>
        <color theme="1"/>
        <rFont val="Times New Roman"/>
        <family val="1"/>
        <charset val="204"/>
      </rPr>
      <t>r</t>
    </r>
  </si>
  <si>
    <t>f = N - 1</t>
  </si>
  <si>
    <t>μ(f)</t>
  </si>
  <si>
    <r>
      <t>Условие S</t>
    </r>
    <r>
      <rPr>
        <vertAlign val="subscript"/>
        <sz val="12"/>
        <color theme="1"/>
        <rFont val="Times New Roman"/>
        <family val="1"/>
        <charset val="204"/>
      </rPr>
      <t>rл</t>
    </r>
    <r>
      <rPr>
        <sz val="12"/>
        <color theme="1"/>
        <rFont val="Times New Roman"/>
        <family val="1"/>
        <charset val="204"/>
      </rPr>
      <t xml:space="preserve"> ≤ K</t>
    </r>
    <r>
      <rPr>
        <vertAlign val="subscript"/>
        <sz val="12"/>
        <color theme="1"/>
        <rFont val="Times New Roman"/>
        <family val="1"/>
        <charset val="204"/>
      </rPr>
      <t>r</t>
    </r>
  </si>
  <si>
    <t>№ пробы</t>
  </si>
  <si>
    <r>
      <t>X</t>
    </r>
    <r>
      <rPr>
        <vertAlign val="subscript"/>
        <sz val="12"/>
        <color theme="1"/>
        <rFont val="Times New Roman"/>
        <family val="1"/>
        <charset val="204"/>
      </rPr>
      <t>1</t>
    </r>
  </si>
  <si>
    <r>
      <t>X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2"/>
        <charset val="204"/>
      </rPr>
      <t/>
    </r>
  </si>
  <si>
    <r>
      <t>X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2"/>
        <charset val="204"/>
      </rPr>
      <t/>
    </r>
  </si>
  <si>
    <r>
      <t>X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2"/>
        <charset val="204"/>
      </rPr>
      <t/>
    </r>
  </si>
  <si>
    <r>
      <t>X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2"/>
        <charset val="204"/>
      </rPr>
      <t/>
    </r>
  </si>
  <si>
    <r>
      <t>X</t>
    </r>
    <r>
      <rPr>
        <vertAlign val="subscript"/>
        <sz val="12"/>
        <color theme="1"/>
        <rFont val="Times New Roman"/>
        <family val="1"/>
        <charset val="204"/>
      </rPr>
      <t>ср., m</t>
    </r>
  </si>
  <si>
    <t>Число рабочих проб М =</t>
  </si>
  <si>
    <t>Число параллельных определений каждой пробы n' =</t>
  </si>
  <si>
    <t>М * (n' - 1) =</t>
  </si>
  <si>
    <t>Условие М * (n' - 1) ≥ 15</t>
  </si>
  <si>
    <r>
      <rPr>
        <sz val="12"/>
        <color theme="1"/>
        <rFont val="Times New Roman"/>
        <family val="1"/>
        <charset val="204"/>
      </rPr>
      <t>S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vertAlign val="subscript"/>
        <sz val="12"/>
        <color theme="1"/>
        <rFont val="Times New Roman"/>
        <family val="1"/>
        <charset val="204"/>
      </rPr>
      <t>r,m</t>
    </r>
  </si>
  <si>
    <t>Наименование лаборатории</t>
  </si>
  <si>
    <t>Испытательная лаборатория ООО "Наименование"</t>
  </si>
  <si>
    <t>Должность руководителя лаборатории</t>
  </si>
  <si>
    <t>И.О. Фамилия руководителя лаборатории</t>
  </si>
  <si>
    <t>Менеджер по качеству</t>
  </si>
  <si>
    <t>Заведущий лабораторией</t>
  </si>
  <si>
    <t>П.П. Иванов</t>
  </si>
  <si>
    <r>
      <t xml:space="preserve">01.07.2015 </t>
    </r>
    <r>
      <rPr>
        <sz val="12"/>
        <color theme="1"/>
        <rFont val="Calibri"/>
        <family val="2"/>
        <charset val="204"/>
      </rPr>
      <t>—</t>
    </r>
    <r>
      <rPr>
        <sz val="12"/>
        <color theme="1"/>
        <rFont val="Times New Roman"/>
        <family val="1"/>
        <charset val="204"/>
      </rPr>
      <t xml:space="preserve"> 07.07.2015</t>
    </r>
  </si>
  <si>
    <t>г/м³</t>
  </si>
  <si>
    <t>в относительных единицах (%)</t>
  </si>
  <si>
    <t>газ горючий природный</t>
  </si>
  <si>
    <t>массовая концентрация сероводорода</t>
  </si>
  <si>
    <t>Необходимое количество параллельных определений N ≥ 16.</t>
  </si>
  <si>
    <r>
      <t>σ</t>
    </r>
    <r>
      <rPr>
        <vertAlign val="subscript"/>
        <sz val="12"/>
        <color theme="1"/>
        <rFont val="Times New Roman"/>
        <family val="1"/>
        <charset val="204"/>
      </rPr>
      <t>L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=</t>
    </r>
  </si>
  <si>
    <r>
      <t>σ</t>
    </r>
    <r>
      <rPr>
        <vertAlign val="subscript"/>
        <sz val="12"/>
        <color theme="1"/>
        <rFont val="Times New Roman"/>
        <family val="1"/>
        <charset val="204"/>
      </rPr>
      <t>R</t>
    </r>
    <r>
      <rPr>
        <vertAlign val="superscript"/>
        <sz val="12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=</t>
    </r>
  </si>
  <si>
    <r>
      <t>n</t>
    </r>
    <r>
      <rPr>
        <vertAlign val="subscript"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≥</t>
    </r>
  </si>
  <si>
    <r>
      <t>X</t>
    </r>
    <r>
      <rPr>
        <vertAlign val="subscript"/>
        <sz val="12"/>
        <color theme="1"/>
        <rFont val="Times New Roman"/>
        <family val="1"/>
        <charset val="204"/>
      </rPr>
      <t>ср</t>
    </r>
    <r>
      <rPr>
        <sz val="12"/>
        <color theme="1"/>
        <rFont val="Times New Roman"/>
        <family val="1"/>
        <charset val="204"/>
      </rPr>
      <t xml:space="preserve"> =</t>
    </r>
  </si>
  <si>
    <r>
      <t>θ</t>
    </r>
    <r>
      <rPr>
        <vertAlign val="superscript"/>
        <sz val="12"/>
        <color theme="1"/>
        <rFont val="Times New Roman"/>
        <family val="1"/>
        <charset val="204"/>
      </rPr>
      <t>*</t>
    </r>
    <r>
      <rPr>
        <vertAlign val="subscript"/>
        <sz val="12"/>
        <color theme="1"/>
        <rFont val="Times New Roman"/>
        <family val="1"/>
        <charset val="204"/>
      </rPr>
      <t xml:space="preserve">Л </t>
    </r>
    <r>
      <rPr>
        <sz val="12"/>
        <color theme="1"/>
        <rFont val="Times New Roman"/>
        <family val="1"/>
        <charset val="204"/>
      </rPr>
      <t>=</t>
    </r>
  </si>
  <si>
    <r>
      <t>S</t>
    </r>
    <r>
      <rPr>
        <vertAlign val="subscript"/>
        <sz val="12"/>
        <color theme="1"/>
        <rFont val="Times New Roman"/>
        <family val="1"/>
        <charset val="204"/>
      </rPr>
      <t>W</t>
    </r>
    <r>
      <rPr>
        <sz val="12"/>
        <color theme="1"/>
        <rFont val="Times New Roman"/>
        <family val="1"/>
        <charset val="204"/>
      </rPr>
      <t xml:space="preserve"> =</t>
    </r>
  </si>
  <si>
    <r>
      <t>S</t>
    </r>
    <r>
      <rPr>
        <vertAlign val="subscript"/>
        <sz val="12"/>
        <color theme="1"/>
        <rFont val="Times New Roman"/>
        <family val="1"/>
        <charset val="204"/>
      </rPr>
      <t xml:space="preserve">Δ </t>
    </r>
    <r>
      <rPr>
        <sz val="12"/>
        <color theme="1"/>
        <rFont val="Times New Roman"/>
        <family val="1"/>
        <charset val="204"/>
      </rPr>
      <t>=</t>
    </r>
  </si>
  <si>
    <r>
      <t>Условие |θ</t>
    </r>
    <r>
      <rPr>
        <vertAlign val="superscript"/>
        <sz val="12"/>
        <color theme="1"/>
        <rFont val="Times New Roman"/>
        <family val="1"/>
        <charset val="204"/>
      </rPr>
      <t>*</t>
    </r>
    <r>
      <rPr>
        <vertAlign val="subscript"/>
        <sz val="12"/>
        <color theme="1"/>
        <rFont val="Times New Roman"/>
        <family val="1"/>
        <charset val="204"/>
      </rPr>
      <t>Л</t>
    </r>
    <r>
      <rPr>
        <sz val="12"/>
        <color theme="1"/>
        <rFont val="Times New Roman"/>
        <family val="1"/>
        <charset val="204"/>
      </rPr>
      <t>| ≤ 2S</t>
    </r>
    <r>
      <rPr>
        <vertAlign val="subscript"/>
        <sz val="12"/>
        <color theme="1"/>
        <rFont val="Times New Roman"/>
        <family val="1"/>
        <charset val="204"/>
      </rPr>
      <t>Δ</t>
    </r>
  </si>
  <si>
    <t>Результаты параллельных определений рабочих проб</t>
  </si>
  <si>
    <t>УТВЕРЖДАЮ</t>
  </si>
  <si>
    <t>" ___ " ____________ 20 ___ г.</t>
  </si>
  <si>
    <t>И.И. Петров</t>
  </si>
  <si>
    <t>Подтверждение соответствия реализуемой в лаборатории методики (метода) количественного химического анализа требованиям нормативного документа на эту методику</t>
  </si>
  <si>
    <t>Методика КХА</t>
  </si>
  <si>
    <t>СКО повторяемости методики</t>
  </si>
  <si>
    <t>СКО воспроизводимости методики</t>
  </si>
  <si>
    <t>СКО погрешности методики</t>
  </si>
  <si>
    <t>Показатель точности методики</t>
  </si>
  <si>
    <t>Показатели качества методики заданы</t>
  </si>
  <si>
    <t>Число парралельных определений установленное НД на методику, n</t>
  </si>
  <si>
    <t>Дата (период) проверки соответствия</t>
  </si>
  <si>
    <t>Проверка соответствия повторяемости результатов анализа требованиям методики
с использованием нескольких рабочих проб</t>
  </si>
  <si>
    <t>Проверка соответствия лабораторного смещения требованиям методики
с использованием образца для контроля</t>
  </si>
  <si>
    <t>Должность ответственного за проверку</t>
  </si>
  <si>
    <t>И.О. Фамилия ответственного за проверку</t>
  </si>
  <si>
    <t>Скрыть/показать строки</t>
  </si>
  <si>
    <t>Показать</t>
  </si>
  <si>
    <t>несколько рабочих проб</t>
  </si>
  <si>
    <t>Автоматизированная процедура расчетов, проводимых по Р 50.2.060-2008 (способ 2) при подтверждении соответствия реализуемой в лаборатории методики количественного химического анализа требованиям нормативного документа на эту методику.
Для свободного распространения, модификации, улучшения и т.п. (со ссылкой на автора)
15.04.2016 © Д.А. Цимбаленко</t>
  </si>
  <si>
    <t>https://rosakkreditatsiya-forum.ru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</si>
</sst>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u/>
      <sz val="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4" fontId="2" fillId="2" borderId="2" xfId="0" applyNumberFormat="1" applyFont="1" applyFill="1" applyBorder="1" applyAlignment="1" applyProtection="1">
      <alignment horizontal="left" vertical="center"/>
      <protection locked="0"/>
    </xf>
    <xf numFmtId="14" fontId="0" fillId="2" borderId="3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8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/>
    <xf numFmtId="0" fontId="14" fillId="0" borderId="0" xfId="1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osakkreditatsiya-foru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4"/>
  <sheetViews>
    <sheetView view="pageBreakPreview" zoomScaleNormal="100" zoomScaleSheetLayoutView="100" workbookViewId="0">
      <selection activeCell="A78" sqref="A78:H78"/>
    </sheetView>
  </sheetViews>
  <sheetFormatPr defaultRowHeight="15" x14ac:dyDescent="0.25"/>
  <cols>
    <col min="1" max="22" width="12.85546875" customWidth="1"/>
  </cols>
  <sheetData>
    <row r="1" spans="1:14" ht="40.5" customHeight="1" x14ac:dyDescent="0.25">
      <c r="A1" s="77" t="s">
        <v>53</v>
      </c>
      <c r="B1" s="80"/>
      <c r="C1" s="80"/>
      <c r="D1" s="80"/>
      <c r="E1" s="80"/>
      <c r="F1" s="80"/>
      <c r="G1" s="80"/>
      <c r="H1" s="80"/>
      <c r="I1" s="1"/>
      <c r="J1" s="13"/>
      <c r="K1" s="1"/>
      <c r="L1" s="1"/>
      <c r="M1" s="1"/>
      <c r="N1" s="1"/>
    </row>
    <row r="2" spans="1:14" ht="15.75" x14ac:dyDescent="0.25">
      <c r="A2" s="1"/>
      <c r="B2" s="1"/>
      <c r="C2" s="1"/>
      <c r="D2" s="6"/>
      <c r="E2" s="7"/>
      <c r="F2" s="4"/>
      <c r="G2" s="3"/>
      <c r="H2" s="3"/>
      <c r="I2" s="1"/>
      <c r="J2" s="13"/>
      <c r="K2" s="1"/>
      <c r="L2" s="1"/>
      <c r="M2" s="1"/>
      <c r="N2" s="1"/>
    </row>
    <row r="3" spans="1:14" ht="51.75" customHeight="1" x14ac:dyDescent="0.25">
      <c r="A3" s="48" t="s">
        <v>28</v>
      </c>
      <c r="B3" s="49"/>
      <c r="C3" s="49"/>
      <c r="D3" s="49"/>
      <c r="E3" s="67" t="s">
        <v>29</v>
      </c>
      <c r="F3" s="68"/>
      <c r="G3" s="68"/>
      <c r="H3" s="69"/>
      <c r="I3" s="19"/>
      <c r="J3" s="19"/>
      <c r="K3" s="19"/>
      <c r="L3" s="19"/>
      <c r="M3" s="19"/>
      <c r="N3" s="19"/>
    </row>
    <row r="4" spans="1:14" ht="15.75" x14ac:dyDescent="0.25">
      <c r="A4" s="48" t="s">
        <v>4</v>
      </c>
      <c r="B4" s="49"/>
      <c r="C4" s="49"/>
      <c r="D4" s="49"/>
      <c r="E4" s="55" t="s">
        <v>38</v>
      </c>
      <c r="F4" s="56"/>
      <c r="G4" s="56"/>
      <c r="H4" s="57"/>
      <c r="I4" s="1"/>
      <c r="J4" s="13"/>
      <c r="K4" s="1"/>
      <c r="L4" s="1"/>
      <c r="M4" s="1"/>
      <c r="N4" s="1"/>
    </row>
    <row r="5" spans="1:14" ht="15.75" x14ac:dyDescent="0.25">
      <c r="A5" s="48" t="s">
        <v>2</v>
      </c>
      <c r="B5" s="49"/>
      <c r="C5" s="49"/>
      <c r="D5" s="49"/>
      <c r="E5" s="55" t="s">
        <v>39</v>
      </c>
      <c r="F5" s="56"/>
      <c r="G5" s="56"/>
      <c r="H5" s="57"/>
      <c r="I5" s="1"/>
      <c r="J5" s="13"/>
      <c r="K5" s="1"/>
      <c r="L5" s="1"/>
      <c r="M5" s="1"/>
      <c r="N5" s="1"/>
    </row>
    <row r="6" spans="1:14" ht="15.75" x14ac:dyDescent="0.25">
      <c r="A6" s="48" t="s">
        <v>54</v>
      </c>
      <c r="B6" s="49"/>
      <c r="C6" s="49"/>
      <c r="D6" s="49"/>
      <c r="E6" s="55" t="s">
        <v>7</v>
      </c>
      <c r="F6" s="56"/>
      <c r="G6" s="56"/>
      <c r="H6" s="57"/>
      <c r="I6" s="1"/>
      <c r="J6" s="13"/>
      <c r="K6" s="1"/>
      <c r="L6" s="1"/>
      <c r="M6" s="1"/>
      <c r="N6" s="1"/>
    </row>
    <row r="7" spans="1:14" ht="15.75" x14ac:dyDescent="0.25">
      <c r="A7" s="48" t="s">
        <v>3</v>
      </c>
      <c r="B7" s="49"/>
      <c r="C7" s="49"/>
      <c r="D7" s="49"/>
      <c r="E7" s="55" t="s">
        <v>36</v>
      </c>
      <c r="F7" s="56"/>
      <c r="G7" s="56"/>
      <c r="H7" s="57"/>
      <c r="I7" s="1"/>
      <c r="J7" s="13"/>
      <c r="K7" s="1"/>
      <c r="L7" s="1"/>
      <c r="M7" s="1"/>
      <c r="N7" s="1"/>
    </row>
    <row r="8" spans="1:14" ht="22.5" customHeight="1" x14ac:dyDescent="0.25">
      <c r="A8" s="48" t="str">
        <f>CONCATENATE("Диапазон (поддиапазон) методики, ", E7)</f>
        <v>Диапазон (поддиапазон) методики, г/м³</v>
      </c>
      <c r="B8" s="49"/>
      <c r="C8" s="49"/>
      <c r="D8" s="49"/>
      <c r="E8" s="45">
        <v>1E-3</v>
      </c>
      <c r="F8" s="47" t="s">
        <v>11</v>
      </c>
      <c r="G8" s="46">
        <v>5.0000000000000001E-3</v>
      </c>
      <c r="H8" s="23"/>
      <c r="I8" s="1"/>
      <c r="J8" s="13"/>
      <c r="K8" s="1"/>
      <c r="L8" s="1"/>
      <c r="M8" s="1"/>
      <c r="N8" s="1"/>
    </row>
    <row r="9" spans="1:14" ht="22.5" customHeight="1" x14ac:dyDescent="0.25">
      <c r="A9" s="48" t="s">
        <v>55</v>
      </c>
      <c r="B9" s="49"/>
      <c r="C9" s="49"/>
      <c r="D9" s="49"/>
      <c r="E9" s="65">
        <v>3.6</v>
      </c>
      <c r="F9" s="70"/>
      <c r="G9" s="20"/>
      <c r="H9" s="10"/>
      <c r="I9" s="1"/>
      <c r="J9" s="13"/>
      <c r="K9" s="1"/>
      <c r="L9" s="1"/>
      <c r="M9" s="1"/>
      <c r="N9" s="1"/>
    </row>
    <row r="10" spans="1:14" ht="22.5" customHeight="1" x14ac:dyDescent="0.25">
      <c r="A10" s="48" t="s">
        <v>56</v>
      </c>
      <c r="B10" s="49"/>
      <c r="C10" s="49"/>
      <c r="D10" s="49"/>
      <c r="E10" s="65">
        <v>5.4</v>
      </c>
      <c r="F10" s="70"/>
      <c r="G10" s="20"/>
      <c r="H10" s="10"/>
      <c r="I10" s="1"/>
      <c r="J10" s="13"/>
      <c r="K10" s="12"/>
      <c r="L10" s="1"/>
      <c r="M10" s="1"/>
      <c r="N10" s="1"/>
    </row>
    <row r="11" spans="1:14" ht="22.5" customHeight="1" x14ac:dyDescent="0.25">
      <c r="A11" s="48" t="s">
        <v>57</v>
      </c>
      <c r="B11" s="49"/>
      <c r="C11" s="49"/>
      <c r="D11" s="49"/>
      <c r="E11" s="65">
        <v>5.4</v>
      </c>
      <c r="F11" s="70"/>
      <c r="G11" s="20"/>
      <c r="H11" s="10"/>
      <c r="I11" s="1"/>
      <c r="J11" s="13"/>
      <c r="K11" s="1"/>
      <c r="L11" s="1"/>
      <c r="M11" s="1"/>
      <c r="N11" s="1"/>
    </row>
    <row r="12" spans="1:14" ht="22.5" customHeight="1" x14ac:dyDescent="0.25">
      <c r="A12" s="48" t="s">
        <v>58</v>
      </c>
      <c r="B12" s="49"/>
      <c r="C12" s="49"/>
      <c r="D12" s="49"/>
      <c r="E12" s="65">
        <v>12</v>
      </c>
      <c r="F12" s="70"/>
      <c r="G12" s="20"/>
      <c r="H12" s="10"/>
      <c r="I12" s="1"/>
      <c r="J12" s="13"/>
      <c r="K12" s="1"/>
      <c r="L12" s="1"/>
      <c r="M12" s="1"/>
      <c r="N12" s="1"/>
    </row>
    <row r="13" spans="1:14" ht="22.5" customHeight="1" x14ac:dyDescent="0.25">
      <c r="A13" s="71" t="s">
        <v>59</v>
      </c>
      <c r="B13" s="72"/>
      <c r="C13" s="72"/>
      <c r="D13" s="72"/>
      <c r="E13" s="55" t="s">
        <v>37</v>
      </c>
      <c r="F13" s="63"/>
      <c r="G13" s="63"/>
      <c r="H13" s="64"/>
      <c r="I13" s="5"/>
      <c r="J13" s="13"/>
      <c r="K13" s="5"/>
      <c r="L13" s="5"/>
      <c r="M13" s="5"/>
      <c r="N13" s="5"/>
    </row>
    <row r="14" spans="1:14" ht="33.75" customHeight="1" x14ac:dyDescent="0.25">
      <c r="A14" s="52" t="s">
        <v>60</v>
      </c>
      <c r="B14" s="53"/>
      <c r="C14" s="53"/>
      <c r="D14" s="54"/>
      <c r="E14" s="65">
        <v>2</v>
      </c>
      <c r="F14" s="66"/>
      <c r="G14" s="20"/>
      <c r="H14" s="10"/>
      <c r="I14" s="1"/>
      <c r="J14" s="13"/>
      <c r="K14" s="1"/>
      <c r="L14" s="1"/>
      <c r="M14" s="1"/>
      <c r="N14" s="1"/>
    </row>
    <row r="15" spans="1:14" ht="22.5" customHeight="1" x14ac:dyDescent="0.25">
      <c r="A15" s="48" t="s">
        <v>5</v>
      </c>
      <c r="B15" s="49"/>
      <c r="C15" s="49"/>
      <c r="D15" s="49"/>
      <c r="E15" s="65">
        <v>4.0000000000000001E-3</v>
      </c>
      <c r="F15" s="66"/>
      <c r="G15" s="20"/>
      <c r="H15" s="10"/>
      <c r="I15" s="1"/>
      <c r="J15" s="13"/>
      <c r="K15" s="1"/>
      <c r="L15" s="1"/>
      <c r="M15" s="1"/>
      <c r="N15" s="1"/>
    </row>
    <row r="16" spans="1:14" ht="22.5" customHeight="1" x14ac:dyDescent="0.25">
      <c r="A16" s="48" t="s">
        <v>6</v>
      </c>
      <c r="B16" s="49"/>
      <c r="C16" s="49"/>
      <c r="D16" s="49"/>
      <c r="E16" s="65">
        <v>5.0000000000000001E-4</v>
      </c>
      <c r="F16" s="66"/>
      <c r="G16" s="20"/>
      <c r="H16" s="10"/>
      <c r="I16" s="1"/>
      <c r="J16" s="13"/>
      <c r="K16" s="1"/>
      <c r="L16" s="1"/>
      <c r="M16" s="1"/>
      <c r="N16" s="1"/>
    </row>
    <row r="17" spans="1:14" ht="15.75" customHeight="1" x14ac:dyDescent="0.25">
      <c r="A17" s="48" t="str">
        <f>CONCATENATE("Для проверки повторяемости", IF(E17="образец для контроля"," использовался",IF(E17="одна рабочая проба"," использовалась"," использовались")))</f>
        <v>Для проверки повторяемости использовались</v>
      </c>
      <c r="B17" s="49"/>
      <c r="C17" s="49"/>
      <c r="D17" s="49"/>
      <c r="E17" s="55" t="s">
        <v>68</v>
      </c>
      <c r="F17" s="63"/>
      <c r="G17" s="63"/>
      <c r="H17" s="64"/>
      <c r="I17" s="5"/>
      <c r="J17" s="13"/>
      <c r="K17" s="5"/>
      <c r="L17" s="5"/>
      <c r="M17" s="5"/>
      <c r="N17" s="5"/>
    </row>
    <row r="18" spans="1:14" ht="15.75" customHeight="1" x14ac:dyDescent="0.25">
      <c r="A18" s="48" t="s">
        <v>61</v>
      </c>
      <c r="B18" s="49"/>
      <c r="C18" s="49"/>
      <c r="D18" s="49"/>
      <c r="E18" s="58" t="s">
        <v>35</v>
      </c>
      <c r="F18" s="59"/>
      <c r="G18" s="59"/>
      <c r="H18" s="60"/>
      <c r="I18" s="22"/>
      <c r="J18" s="22"/>
      <c r="K18" s="22"/>
      <c r="L18" s="22"/>
      <c r="M18" s="22"/>
      <c r="N18" s="22"/>
    </row>
    <row r="19" spans="1:14" ht="15.75" customHeight="1" x14ac:dyDescent="0.25">
      <c r="A19" s="48" t="s">
        <v>30</v>
      </c>
      <c r="B19" s="49"/>
      <c r="C19" s="49"/>
      <c r="D19" s="49"/>
      <c r="E19" s="55" t="s">
        <v>33</v>
      </c>
      <c r="F19" s="56"/>
      <c r="G19" s="56"/>
      <c r="H19" s="57"/>
      <c r="I19" s="5"/>
      <c r="J19" s="13"/>
      <c r="K19" s="5"/>
      <c r="L19" s="5"/>
      <c r="M19" s="5"/>
      <c r="N19" s="5"/>
    </row>
    <row r="20" spans="1:14" ht="15.75" customHeight="1" x14ac:dyDescent="0.25">
      <c r="A20" s="48" t="s">
        <v>31</v>
      </c>
      <c r="B20" s="49"/>
      <c r="C20" s="49"/>
      <c r="D20" s="49"/>
      <c r="E20" s="55" t="s">
        <v>52</v>
      </c>
      <c r="F20" s="56"/>
      <c r="G20" s="56"/>
      <c r="H20" s="57"/>
      <c r="I20" s="19"/>
      <c r="J20" s="19"/>
      <c r="K20" s="19"/>
      <c r="L20" s="19"/>
      <c r="M20" s="19"/>
      <c r="N20" s="19"/>
    </row>
    <row r="21" spans="1:14" ht="15.75" customHeight="1" x14ac:dyDescent="0.25">
      <c r="A21" s="48" t="s">
        <v>64</v>
      </c>
      <c r="B21" s="49"/>
      <c r="C21" s="49"/>
      <c r="D21" s="49"/>
      <c r="E21" s="55" t="s">
        <v>32</v>
      </c>
      <c r="F21" s="56"/>
      <c r="G21" s="56"/>
      <c r="H21" s="57"/>
      <c r="I21" s="19"/>
      <c r="J21" s="19"/>
      <c r="K21" s="19"/>
      <c r="L21" s="19"/>
      <c r="M21" s="19"/>
      <c r="N21" s="19"/>
    </row>
    <row r="22" spans="1:14" ht="15.75" customHeight="1" x14ac:dyDescent="0.25">
      <c r="A22" s="48" t="s">
        <v>65</v>
      </c>
      <c r="B22" s="49"/>
      <c r="C22" s="49"/>
      <c r="D22" s="49"/>
      <c r="E22" s="55" t="s">
        <v>34</v>
      </c>
      <c r="F22" s="56"/>
      <c r="G22" s="56"/>
      <c r="H22" s="57"/>
      <c r="I22" s="5"/>
      <c r="J22" s="13"/>
      <c r="K22" s="5"/>
      <c r="L22" s="5"/>
      <c r="M22" s="5"/>
      <c r="N22" s="5"/>
    </row>
    <row r="23" spans="1:14" ht="15.75" customHeight="1" x14ac:dyDescent="0.25">
      <c r="A23" s="8"/>
      <c r="B23" s="4"/>
      <c r="C23" s="4"/>
      <c r="D23" s="4"/>
      <c r="E23" s="8"/>
      <c r="F23" s="4"/>
      <c r="G23" s="4"/>
      <c r="H23" s="4"/>
      <c r="I23" s="19"/>
      <c r="J23" s="19"/>
      <c r="K23" s="19"/>
      <c r="L23" s="19"/>
      <c r="M23" s="19"/>
      <c r="N23" s="19"/>
    </row>
    <row r="24" spans="1:14" ht="41.25" customHeight="1" x14ac:dyDescent="0.25">
      <c r="A24" s="50" t="str">
        <f>CONCATENATE("Проверка соответствия повторяемости результатов анализа требованиям методики
с использованием одной однородной рабочей пробы",IF(E17="образец для контроля","*",""))</f>
        <v>Проверка соответствия повторяемости результатов анализа требованиям методики
с использованием одной однородной рабочей пробы</v>
      </c>
      <c r="B24" s="51"/>
      <c r="C24" s="51"/>
      <c r="D24" s="51"/>
      <c r="E24" s="51"/>
      <c r="F24" s="51"/>
      <c r="G24" s="51"/>
      <c r="H24" s="51"/>
      <c r="I24" s="5"/>
      <c r="J24" s="13"/>
      <c r="K24" s="5"/>
      <c r="L24" s="5"/>
      <c r="M24" s="5"/>
      <c r="N24" s="5"/>
    </row>
    <row r="25" spans="1:14" ht="41.25" customHeight="1" x14ac:dyDescent="0.25">
      <c r="A25" s="77" t="s">
        <v>10</v>
      </c>
      <c r="B25" s="77"/>
      <c r="C25" s="77"/>
      <c r="D25" s="77"/>
      <c r="E25" s="77"/>
      <c r="F25" s="77"/>
      <c r="G25" s="77"/>
      <c r="H25" s="77"/>
      <c r="I25" s="5"/>
      <c r="J25" s="13"/>
      <c r="K25" s="5"/>
      <c r="L25" s="5"/>
      <c r="M25" s="5"/>
      <c r="N25" s="5"/>
    </row>
    <row r="26" spans="1:14" ht="15.75" customHeight="1" x14ac:dyDescent="0.25">
      <c r="B26" s="21" t="s">
        <v>0</v>
      </c>
      <c r="C26" s="21" t="s">
        <v>1</v>
      </c>
      <c r="D26" s="21" t="s">
        <v>0</v>
      </c>
      <c r="E26" s="21" t="s">
        <v>1</v>
      </c>
      <c r="F26" s="21" t="s">
        <v>0</v>
      </c>
      <c r="G26" s="21" t="s">
        <v>1</v>
      </c>
      <c r="H26" s="5"/>
      <c r="I26" s="5"/>
      <c r="J26" s="13"/>
      <c r="K26" s="5"/>
      <c r="L26" s="5"/>
      <c r="M26" s="5"/>
      <c r="N26" s="5"/>
    </row>
    <row r="27" spans="1:14" ht="15.75" customHeight="1" x14ac:dyDescent="0.25">
      <c r="B27" s="21">
        <v>1</v>
      </c>
      <c r="C27" s="44">
        <v>3.8700000000000002E-3</v>
      </c>
      <c r="D27" s="21">
        <v>11</v>
      </c>
      <c r="E27" s="44">
        <v>4.0200000000000001E-3</v>
      </c>
      <c r="F27" s="21">
        <v>21</v>
      </c>
      <c r="G27" s="44"/>
      <c r="H27" s="5"/>
      <c r="I27" s="5"/>
      <c r="J27" s="13"/>
      <c r="K27" s="5"/>
      <c r="L27" s="5"/>
      <c r="M27" s="5"/>
      <c r="N27" s="5"/>
    </row>
    <row r="28" spans="1:14" ht="15.75" customHeight="1" x14ac:dyDescent="0.25">
      <c r="B28" s="21">
        <v>2</v>
      </c>
      <c r="C28" s="44">
        <v>3.6900000000000001E-3</v>
      </c>
      <c r="D28" s="21">
        <v>12</v>
      </c>
      <c r="E28" s="44">
        <v>3.8400000000000001E-3</v>
      </c>
      <c r="F28" s="21">
        <v>22</v>
      </c>
      <c r="G28" s="44"/>
      <c r="H28" s="5"/>
      <c r="I28" s="5"/>
      <c r="J28" s="13"/>
      <c r="K28" s="5"/>
      <c r="L28" s="5"/>
      <c r="M28" s="5"/>
      <c r="N28" s="5"/>
    </row>
    <row r="29" spans="1:14" ht="15.75" customHeight="1" x14ac:dyDescent="0.25">
      <c r="B29" s="21">
        <v>3</v>
      </c>
      <c r="C29" s="44">
        <v>3.65E-3</v>
      </c>
      <c r="D29" s="21">
        <v>13</v>
      </c>
      <c r="E29" s="44">
        <v>4.1099999999999999E-3</v>
      </c>
      <c r="F29" s="21">
        <v>23</v>
      </c>
      <c r="G29" s="44"/>
      <c r="H29" s="5"/>
      <c r="I29" s="5"/>
      <c r="J29" s="13"/>
      <c r="K29" s="5"/>
      <c r="L29" s="5"/>
      <c r="M29" s="5"/>
      <c r="N29" s="5"/>
    </row>
    <row r="30" spans="1:14" ht="15.75" customHeight="1" x14ac:dyDescent="0.25">
      <c r="B30" s="21">
        <v>4</v>
      </c>
      <c r="C30" s="44">
        <v>4.0400000000000002E-3</v>
      </c>
      <c r="D30" s="21">
        <v>14</v>
      </c>
      <c r="E30" s="44">
        <v>3.81E-3</v>
      </c>
      <c r="F30" s="21">
        <v>24</v>
      </c>
      <c r="G30" s="44"/>
      <c r="H30" s="5"/>
      <c r="I30" s="5"/>
      <c r="J30" s="13"/>
      <c r="K30" s="5"/>
      <c r="L30" s="5"/>
      <c r="M30" s="5"/>
      <c r="N30" s="5"/>
    </row>
    <row r="31" spans="1:14" ht="15.75" customHeight="1" x14ac:dyDescent="0.25">
      <c r="B31" s="21">
        <v>5</v>
      </c>
      <c r="C31" s="44">
        <v>4.1000000000000003E-3</v>
      </c>
      <c r="D31" s="21">
        <v>15</v>
      </c>
      <c r="E31" s="44">
        <v>4.0899999999999999E-3</v>
      </c>
      <c r="F31" s="21">
        <v>25</v>
      </c>
      <c r="G31" s="44"/>
      <c r="H31" s="5"/>
      <c r="I31" s="5"/>
      <c r="J31" s="13"/>
      <c r="K31" s="5"/>
      <c r="L31" s="5"/>
      <c r="M31" s="5"/>
      <c r="N31" s="5"/>
    </row>
    <row r="32" spans="1:14" ht="15.75" customHeight="1" x14ac:dyDescent="0.25">
      <c r="B32" s="21">
        <v>6</v>
      </c>
      <c r="C32" s="44">
        <v>3.7399999999999998E-3</v>
      </c>
      <c r="D32" s="21">
        <v>16</v>
      </c>
      <c r="E32" s="44">
        <v>3.8600000000000001E-3</v>
      </c>
      <c r="F32" s="21">
        <v>26</v>
      </c>
      <c r="G32" s="44"/>
      <c r="H32" s="5"/>
      <c r="I32" s="5"/>
      <c r="J32" s="13"/>
      <c r="K32" s="5"/>
      <c r="L32" s="5"/>
      <c r="M32" s="5"/>
      <c r="N32" s="5"/>
    </row>
    <row r="33" spans="1:14" ht="15.75" customHeight="1" x14ac:dyDescent="0.25">
      <c r="B33" s="21">
        <v>7</v>
      </c>
      <c r="C33" s="44">
        <v>3.7499999999999999E-3</v>
      </c>
      <c r="D33" s="21">
        <v>17</v>
      </c>
      <c r="E33" s="44"/>
      <c r="F33" s="21">
        <v>27</v>
      </c>
      <c r="G33" s="44"/>
      <c r="H33" s="5"/>
      <c r="I33" s="5"/>
      <c r="J33" s="13"/>
      <c r="K33" s="5"/>
      <c r="L33" s="5"/>
      <c r="M33" s="5"/>
      <c r="N33" s="5"/>
    </row>
    <row r="34" spans="1:14" ht="15.75" customHeight="1" x14ac:dyDescent="0.25">
      <c r="B34" s="21">
        <v>8</v>
      </c>
      <c r="C34" s="44">
        <v>4.0699999999999998E-3</v>
      </c>
      <c r="D34" s="21">
        <v>18</v>
      </c>
      <c r="E34" s="44"/>
      <c r="F34" s="21">
        <v>28</v>
      </c>
      <c r="G34" s="44"/>
      <c r="H34" s="5"/>
      <c r="I34" s="5"/>
      <c r="J34" s="13"/>
      <c r="K34" s="5"/>
      <c r="L34" s="5"/>
      <c r="M34" s="5"/>
      <c r="N34" s="5"/>
    </row>
    <row r="35" spans="1:14" ht="15.75" customHeight="1" x14ac:dyDescent="0.25">
      <c r="B35" s="21">
        <v>9</v>
      </c>
      <c r="C35" s="44">
        <v>3.81E-3</v>
      </c>
      <c r="D35" s="21">
        <v>19</v>
      </c>
      <c r="E35" s="44"/>
      <c r="F35" s="21">
        <v>29</v>
      </c>
      <c r="G35" s="44"/>
      <c r="H35" s="5"/>
      <c r="I35" s="5"/>
      <c r="J35" s="13"/>
      <c r="K35" s="5"/>
      <c r="L35" s="5"/>
      <c r="M35" s="5"/>
      <c r="N35" s="5"/>
    </row>
    <row r="36" spans="1:14" ht="15.75" customHeight="1" x14ac:dyDescent="0.25">
      <c r="B36" s="21">
        <v>10</v>
      </c>
      <c r="C36" s="44">
        <v>4.1799999999999997E-3</v>
      </c>
      <c r="D36" s="21">
        <v>20</v>
      </c>
      <c r="E36" s="44"/>
      <c r="F36" s="21">
        <v>30</v>
      </c>
      <c r="G36" s="44"/>
      <c r="H36" s="5"/>
      <c r="I36" s="5"/>
      <c r="J36" s="13"/>
      <c r="K36" s="5"/>
      <c r="L36" s="5"/>
      <c r="M36" s="5"/>
      <c r="N36" s="5"/>
    </row>
    <row r="37" spans="1:14" ht="19.5" customHeight="1" x14ac:dyDescent="0.25">
      <c r="B37" s="61" t="str">
        <f>IF(E17="образец для контроля","Примечание: *В качестве рабочей пробы использовался образец для контроля.","")</f>
        <v/>
      </c>
      <c r="C37" s="62"/>
      <c r="D37" s="62"/>
      <c r="E37" s="62"/>
      <c r="F37" s="62"/>
      <c r="G37" s="62"/>
      <c r="H37" s="5"/>
      <c r="I37" s="5"/>
      <c r="J37" s="13"/>
      <c r="K37" s="5"/>
      <c r="L37" s="5"/>
      <c r="M37" s="5"/>
      <c r="N37" s="5"/>
    </row>
    <row r="38" spans="1:14" ht="54.75" customHeight="1" x14ac:dyDescent="0.25">
      <c r="A38" s="50" t="s">
        <v>62</v>
      </c>
      <c r="B38" s="51"/>
      <c r="C38" s="51"/>
      <c r="D38" s="51"/>
      <c r="E38" s="51"/>
      <c r="F38" s="51"/>
      <c r="G38" s="51"/>
      <c r="H38" s="51"/>
      <c r="I38" s="12"/>
      <c r="J38" s="13"/>
      <c r="K38" s="12"/>
      <c r="L38" s="12"/>
      <c r="M38" s="12"/>
      <c r="N38" s="12"/>
    </row>
    <row r="39" spans="1:14" ht="28.5" customHeight="1" x14ac:dyDescent="0.25">
      <c r="A39" s="78" t="s">
        <v>49</v>
      </c>
      <c r="B39" s="79"/>
      <c r="C39" s="79"/>
      <c r="D39" s="79"/>
      <c r="E39" s="79"/>
      <c r="F39" s="79"/>
      <c r="G39" s="79"/>
      <c r="H39" s="79"/>
      <c r="I39" s="32"/>
      <c r="J39" s="32"/>
      <c r="K39" s="32"/>
      <c r="L39" s="32"/>
      <c r="M39" s="32"/>
      <c r="N39" s="32"/>
    </row>
    <row r="40" spans="1:14" ht="15.75" customHeight="1" x14ac:dyDescent="0.25">
      <c r="A40" s="8"/>
      <c r="B40" s="8"/>
      <c r="C40" s="8"/>
      <c r="D40" s="8"/>
      <c r="E40" s="8"/>
      <c r="F40" s="8"/>
      <c r="G40" s="8"/>
      <c r="H40" s="8"/>
      <c r="I40" s="12"/>
      <c r="J40" s="13"/>
      <c r="K40" s="12"/>
      <c r="L40" s="12"/>
      <c r="M40" s="12"/>
      <c r="N40" s="12"/>
    </row>
    <row r="41" spans="1:14" ht="18.75" customHeight="1" x14ac:dyDescent="0.25">
      <c r="B41" s="11" t="s">
        <v>16</v>
      </c>
      <c r="C41" s="11" t="s">
        <v>17</v>
      </c>
      <c r="D41" s="11" t="s">
        <v>18</v>
      </c>
      <c r="E41" s="11" t="s">
        <v>19</v>
      </c>
      <c r="F41" s="11" t="s">
        <v>20</v>
      </c>
      <c r="G41" s="30" t="s">
        <v>21</v>
      </c>
      <c r="H41" s="40"/>
      <c r="I41" s="12"/>
      <c r="J41" s="13"/>
      <c r="K41" s="12"/>
      <c r="L41" s="12"/>
      <c r="M41" s="12"/>
      <c r="N41" s="12"/>
    </row>
    <row r="42" spans="1:14" ht="15.75" customHeight="1" x14ac:dyDescent="0.25">
      <c r="B42" s="11">
        <v>1</v>
      </c>
      <c r="C42" s="44">
        <v>4.1599999999999996E-3</v>
      </c>
      <c r="D42" s="44">
        <v>4.0299999999999997E-3</v>
      </c>
      <c r="E42" s="44"/>
      <c r="F42" s="44"/>
      <c r="G42" s="44"/>
      <c r="H42" s="39"/>
      <c r="I42" s="12"/>
      <c r="J42" s="32"/>
      <c r="K42" s="12"/>
      <c r="L42" s="12"/>
      <c r="M42" s="12"/>
      <c r="N42" s="12"/>
    </row>
    <row r="43" spans="1:14" ht="15.75" customHeight="1" x14ac:dyDescent="0.25">
      <c r="B43" s="11">
        <v>2</v>
      </c>
      <c r="C43" s="44">
        <v>1.8699999999999999E-3</v>
      </c>
      <c r="D43" s="44">
        <v>1.9599999999999999E-3</v>
      </c>
      <c r="E43" s="44"/>
      <c r="F43" s="44"/>
      <c r="G43" s="44"/>
      <c r="H43" s="39"/>
      <c r="I43" s="16"/>
      <c r="J43" s="16"/>
      <c r="K43" s="32"/>
      <c r="L43" s="16"/>
      <c r="M43" s="16"/>
      <c r="N43" s="16"/>
    </row>
    <row r="44" spans="1:14" ht="15.75" customHeight="1" x14ac:dyDescent="0.25">
      <c r="B44" s="11">
        <v>3</v>
      </c>
      <c r="C44" s="44">
        <v>1.7099999999999999E-3</v>
      </c>
      <c r="D44" s="44">
        <v>1.65E-3</v>
      </c>
      <c r="E44" s="44"/>
      <c r="F44" s="44"/>
      <c r="G44" s="44"/>
      <c r="H44" s="39"/>
      <c r="I44" s="16"/>
      <c r="J44" s="16"/>
      <c r="K44" s="32"/>
      <c r="L44" s="16"/>
      <c r="M44" s="16"/>
      <c r="N44" s="16"/>
    </row>
    <row r="45" spans="1:14" ht="15.75" customHeight="1" x14ac:dyDescent="0.25">
      <c r="B45" s="11">
        <v>4</v>
      </c>
      <c r="C45" s="44">
        <v>1.91E-3</v>
      </c>
      <c r="D45" s="44">
        <v>1.8500000000000001E-3</v>
      </c>
      <c r="E45" s="44"/>
      <c r="F45" s="44"/>
      <c r="G45" s="44"/>
      <c r="H45" s="39"/>
      <c r="I45" s="16"/>
      <c r="J45" s="16"/>
      <c r="K45" s="32"/>
      <c r="L45" s="16"/>
      <c r="M45" s="16"/>
      <c r="N45" s="16"/>
    </row>
    <row r="46" spans="1:14" ht="15.75" customHeight="1" x14ac:dyDescent="0.25">
      <c r="B46" s="11">
        <v>5</v>
      </c>
      <c r="C46" s="44">
        <v>4.6800000000000001E-3</v>
      </c>
      <c r="D46" s="44">
        <v>4.5399999999999998E-3</v>
      </c>
      <c r="E46" s="44"/>
      <c r="F46" s="44"/>
      <c r="G46" s="44"/>
      <c r="H46" s="39"/>
      <c r="I46" s="16"/>
      <c r="J46" s="16"/>
      <c r="K46" s="32"/>
      <c r="L46" s="16"/>
      <c r="M46" s="16"/>
      <c r="N46" s="16"/>
    </row>
    <row r="47" spans="1:14" ht="15.75" customHeight="1" x14ac:dyDescent="0.25">
      <c r="B47" s="11">
        <v>6</v>
      </c>
      <c r="C47" s="44">
        <v>3.5000000000000001E-3</v>
      </c>
      <c r="D47" s="44">
        <v>3.46E-3</v>
      </c>
      <c r="E47" s="44"/>
      <c r="F47" s="44"/>
      <c r="G47" s="44"/>
      <c r="H47" s="39"/>
      <c r="I47" s="16"/>
      <c r="J47" s="16"/>
      <c r="K47" s="32"/>
      <c r="L47" s="16"/>
      <c r="M47" s="16"/>
      <c r="N47" s="16"/>
    </row>
    <row r="48" spans="1:14" ht="15.75" customHeight="1" x14ac:dyDescent="0.25">
      <c r="B48" s="11">
        <v>7</v>
      </c>
      <c r="C48" s="44">
        <v>1.9499999999999999E-3</v>
      </c>
      <c r="D48" s="44">
        <v>2.16E-3</v>
      </c>
      <c r="E48" s="44"/>
      <c r="F48" s="44"/>
      <c r="G48" s="44"/>
      <c r="H48" s="39"/>
      <c r="I48" s="16"/>
      <c r="J48" s="16"/>
      <c r="K48" s="32"/>
      <c r="L48" s="16"/>
      <c r="M48" s="16"/>
      <c r="N48" s="16"/>
    </row>
    <row r="49" spans="1:14" ht="15.75" customHeight="1" x14ac:dyDescent="0.25">
      <c r="B49" s="11">
        <v>8</v>
      </c>
      <c r="C49" s="44">
        <v>1.9E-3</v>
      </c>
      <c r="D49" s="44">
        <v>2.0799999999999998E-3</v>
      </c>
      <c r="E49" s="44"/>
      <c r="F49" s="44"/>
      <c r="G49" s="44"/>
      <c r="H49" s="39"/>
      <c r="I49" s="16"/>
      <c r="J49" s="16"/>
      <c r="K49" s="32"/>
      <c r="L49" s="16"/>
      <c r="M49" s="16"/>
      <c r="N49" s="16"/>
    </row>
    <row r="50" spans="1:14" ht="15.75" customHeight="1" x14ac:dyDescent="0.25">
      <c r="B50" s="11">
        <v>9</v>
      </c>
      <c r="C50" s="44">
        <v>1.9E-3</v>
      </c>
      <c r="D50" s="44">
        <v>1.7700000000000001E-3</v>
      </c>
      <c r="E50" s="44"/>
      <c r="F50" s="44"/>
      <c r="G50" s="44"/>
      <c r="H50" s="39"/>
      <c r="I50" s="16"/>
      <c r="J50" s="16"/>
      <c r="K50" s="32"/>
      <c r="L50" s="16"/>
      <c r="M50" s="16"/>
      <c r="N50" s="16"/>
    </row>
    <row r="51" spans="1:14" ht="15.75" customHeight="1" x14ac:dyDescent="0.25">
      <c r="B51" s="11">
        <v>10</v>
      </c>
      <c r="C51" s="44">
        <v>2.1700000000000001E-3</v>
      </c>
      <c r="D51" s="44">
        <v>2.2200000000000002E-3</v>
      </c>
      <c r="E51" s="44"/>
      <c r="F51" s="44"/>
      <c r="G51" s="44"/>
      <c r="H51" s="39"/>
      <c r="I51" s="16"/>
      <c r="J51" s="16"/>
      <c r="K51" s="32"/>
      <c r="L51" s="16"/>
      <c r="M51" s="16"/>
      <c r="N51" s="16"/>
    </row>
    <row r="52" spans="1:14" ht="15.75" customHeight="1" x14ac:dyDescent="0.25">
      <c r="B52" s="11">
        <v>11</v>
      </c>
      <c r="C52" s="44">
        <v>2.6800000000000001E-3</v>
      </c>
      <c r="D52" s="44">
        <v>2.5700000000000002E-3</v>
      </c>
      <c r="E52" s="44"/>
      <c r="F52" s="44"/>
      <c r="G52" s="44"/>
      <c r="H52" s="39"/>
      <c r="I52" s="16"/>
      <c r="J52" s="16"/>
      <c r="K52" s="32"/>
      <c r="L52" s="16"/>
      <c r="M52" s="16"/>
      <c r="N52" s="16"/>
    </row>
    <row r="53" spans="1:14" ht="15.75" customHeight="1" x14ac:dyDescent="0.25">
      <c r="B53" s="11">
        <v>12</v>
      </c>
      <c r="C53" s="44">
        <v>3.3999999999999998E-3</v>
      </c>
      <c r="D53" s="44">
        <v>3.1900000000000001E-3</v>
      </c>
      <c r="E53" s="44"/>
      <c r="F53" s="44"/>
      <c r="G53" s="44"/>
      <c r="H53" s="39"/>
      <c r="I53" s="16"/>
      <c r="J53" s="16"/>
      <c r="K53" s="32"/>
      <c r="L53" s="16"/>
      <c r="M53" s="16"/>
      <c r="N53" s="16"/>
    </row>
    <row r="54" spans="1:14" ht="15.75" customHeight="1" x14ac:dyDescent="0.25">
      <c r="B54" s="11">
        <v>13</v>
      </c>
      <c r="C54" s="44">
        <v>1.01E-3</v>
      </c>
      <c r="D54" s="44">
        <v>1.17E-3</v>
      </c>
      <c r="E54" s="44"/>
      <c r="F54" s="44"/>
      <c r="G54" s="44"/>
      <c r="H54" s="39"/>
      <c r="I54" s="16"/>
      <c r="J54" s="16"/>
      <c r="K54" s="32"/>
      <c r="L54" s="16"/>
      <c r="M54" s="16"/>
      <c r="N54" s="16"/>
    </row>
    <row r="55" spans="1:14" ht="15.75" customHeight="1" x14ac:dyDescent="0.25">
      <c r="B55" s="11">
        <v>14</v>
      </c>
      <c r="C55" s="44">
        <v>3.5599999999999998E-3</v>
      </c>
      <c r="D55" s="44">
        <v>3.4399999999999999E-3</v>
      </c>
      <c r="E55" s="44"/>
      <c r="F55" s="44"/>
      <c r="G55" s="44"/>
      <c r="H55" s="39"/>
      <c r="I55" s="16"/>
      <c r="J55" s="16"/>
      <c r="K55" s="32"/>
      <c r="L55" s="16"/>
      <c r="M55" s="16"/>
      <c r="N55" s="16"/>
    </row>
    <row r="56" spans="1:14" ht="15.75" customHeight="1" x14ac:dyDescent="0.25">
      <c r="B56" s="11">
        <v>15</v>
      </c>
      <c r="C56" s="44">
        <v>4.9800000000000001E-3</v>
      </c>
      <c r="D56" s="44">
        <v>5.1000000000000004E-3</v>
      </c>
      <c r="E56" s="44"/>
      <c r="F56" s="44"/>
      <c r="G56" s="44"/>
      <c r="H56" s="39"/>
      <c r="I56" s="16"/>
      <c r="J56" s="16"/>
      <c r="K56" s="32"/>
      <c r="L56" s="16"/>
      <c r="M56" s="16"/>
      <c r="N56" s="16"/>
    </row>
    <row r="57" spans="1:14" ht="15.75" customHeight="1" x14ac:dyDescent="0.25">
      <c r="B57" s="11">
        <v>16</v>
      </c>
      <c r="C57" s="44"/>
      <c r="D57" s="44"/>
      <c r="E57" s="44"/>
      <c r="F57" s="44"/>
      <c r="G57" s="44"/>
      <c r="H57" s="39"/>
      <c r="I57" s="12"/>
      <c r="J57" s="14"/>
      <c r="K57" s="12"/>
      <c r="L57" s="12"/>
      <c r="M57" s="12"/>
      <c r="N57" s="12"/>
    </row>
    <row r="58" spans="1:14" ht="15.75" customHeight="1" x14ac:dyDescent="0.25">
      <c r="B58" s="11">
        <v>17</v>
      </c>
      <c r="C58" s="44"/>
      <c r="D58" s="44"/>
      <c r="E58" s="44"/>
      <c r="F58" s="44"/>
      <c r="G58" s="44"/>
      <c r="H58" s="39"/>
      <c r="I58" s="12"/>
      <c r="J58" s="14"/>
      <c r="K58" s="12"/>
      <c r="L58" s="12"/>
      <c r="M58" s="12"/>
      <c r="N58" s="12"/>
    </row>
    <row r="59" spans="1:14" ht="15.75" customHeight="1" x14ac:dyDescent="0.25">
      <c r="B59" s="11">
        <v>18</v>
      </c>
      <c r="C59" s="44"/>
      <c r="D59" s="44"/>
      <c r="E59" s="44"/>
      <c r="F59" s="44"/>
      <c r="G59" s="44"/>
      <c r="H59" s="39"/>
      <c r="I59" s="12"/>
      <c r="J59" s="14"/>
      <c r="K59" s="12"/>
      <c r="L59" s="12"/>
      <c r="M59" s="12"/>
      <c r="N59" s="12"/>
    </row>
    <row r="60" spans="1:14" ht="15.75" customHeight="1" x14ac:dyDescent="0.25">
      <c r="B60" s="11">
        <v>19</v>
      </c>
      <c r="C60" s="44"/>
      <c r="D60" s="44"/>
      <c r="E60" s="44"/>
      <c r="F60" s="44"/>
      <c r="G60" s="44"/>
      <c r="H60" s="39"/>
      <c r="I60" s="12"/>
      <c r="J60" s="14"/>
      <c r="K60" s="12"/>
      <c r="L60" s="12"/>
      <c r="M60" s="12"/>
      <c r="N60" s="12"/>
    </row>
    <row r="61" spans="1:14" ht="15.75" customHeight="1" x14ac:dyDescent="0.25">
      <c r="B61" s="11">
        <v>20</v>
      </c>
      <c r="C61" s="44"/>
      <c r="D61" s="44"/>
      <c r="E61" s="44"/>
      <c r="F61" s="44"/>
      <c r="G61" s="44"/>
      <c r="H61" s="39"/>
      <c r="I61" s="12"/>
      <c r="J61" s="14"/>
      <c r="K61" s="12"/>
      <c r="L61" s="12"/>
      <c r="M61" s="12"/>
      <c r="N61" s="12"/>
    </row>
    <row r="62" spans="1:14" ht="15.75" customHeight="1" x14ac:dyDescent="0.25">
      <c r="A62" s="8"/>
      <c r="B62" s="8"/>
      <c r="C62" s="8"/>
      <c r="D62" s="8"/>
      <c r="E62" s="8"/>
      <c r="F62" s="8"/>
      <c r="G62" s="8"/>
      <c r="H62" s="8"/>
      <c r="I62" s="12"/>
      <c r="J62" s="13"/>
      <c r="K62" s="12"/>
      <c r="L62" s="12"/>
      <c r="M62" s="12"/>
      <c r="N62" s="12"/>
    </row>
    <row r="63" spans="1:14" ht="51" customHeight="1" x14ac:dyDescent="0.25">
      <c r="A63" s="50" t="s">
        <v>63</v>
      </c>
      <c r="B63" s="51"/>
      <c r="C63" s="51"/>
      <c r="D63" s="51"/>
      <c r="E63" s="51"/>
      <c r="F63" s="51"/>
      <c r="G63" s="51"/>
      <c r="H63" s="51"/>
      <c r="I63" s="1"/>
      <c r="J63" s="13"/>
      <c r="K63" s="1"/>
      <c r="L63" s="1"/>
      <c r="M63" s="1"/>
      <c r="N63" s="1"/>
    </row>
    <row r="64" spans="1:14" ht="29.25" customHeight="1" x14ac:dyDescent="0.25">
      <c r="A64" s="75" t="s">
        <v>8</v>
      </c>
      <c r="B64" s="76"/>
      <c r="C64" s="76"/>
      <c r="D64" s="76"/>
      <c r="E64" s="76"/>
      <c r="F64" s="76"/>
      <c r="G64" s="76"/>
      <c r="H64" s="76"/>
      <c r="I64" s="1"/>
      <c r="J64" s="13"/>
      <c r="K64" s="1"/>
      <c r="L64" s="1"/>
      <c r="M64" s="1"/>
      <c r="N64" s="1"/>
    </row>
    <row r="65" spans="1:14" ht="18.75" x14ac:dyDescent="0.25">
      <c r="B65" s="2" t="s">
        <v>0</v>
      </c>
      <c r="C65" s="2" t="s">
        <v>1</v>
      </c>
      <c r="D65" s="2" t="s">
        <v>0</v>
      </c>
      <c r="E65" s="2" t="s">
        <v>1</v>
      </c>
      <c r="F65" s="2" t="s">
        <v>0</v>
      </c>
      <c r="G65" s="2" t="s">
        <v>1</v>
      </c>
      <c r="H65" s="1"/>
      <c r="I65" s="1"/>
      <c r="J65" s="13"/>
      <c r="K65" s="1"/>
      <c r="L65" s="1"/>
      <c r="M65" s="1"/>
      <c r="N65" s="1"/>
    </row>
    <row r="66" spans="1:14" ht="15.75" x14ac:dyDescent="0.25">
      <c r="B66" s="2">
        <v>1</v>
      </c>
      <c r="C66" s="44">
        <v>3.8700000000000002E-3</v>
      </c>
      <c r="D66" s="2">
        <v>11</v>
      </c>
      <c r="E66" s="44">
        <v>4.0200000000000001E-3</v>
      </c>
      <c r="F66" s="2">
        <v>21</v>
      </c>
      <c r="G66" s="44"/>
      <c r="H66" s="1"/>
      <c r="I66" s="1"/>
      <c r="K66" s="1"/>
      <c r="L66" s="1"/>
      <c r="M66" s="1"/>
      <c r="N66" s="1"/>
    </row>
    <row r="67" spans="1:14" ht="15.75" x14ac:dyDescent="0.25">
      <c r="B67" s="2">
        <v>2</v>
      </c>
      <c r="C67" s="44">
        <v>3.6900000000000001E-3</v>
      </c>
      <c r="D67" s="2">
        <v>12</v>
      </c>
      <c r="E67" s="44">
        <v>3.8400000000000001E-3</v>
      </c>
      <c r="F67" s="2">
        <v>22</v>
      </c>
      <c r="G67" s="44"/>
      <c r="H67" s="1"/>
      <c r="I67" s="1"/>
      <c r="K67" s="1"/>
      <c r="L67" s="1"/>
      <c r="M67" s="1"/>
      <c r="N67" s="1"/>
    </row>
    <row r="68" spans="1:14" ht="15.75" x14ac:dyDescent="0.25">
      <c r="B68" s="2">
        <v>3</v>
      </c>
      <c r="C68" s="44">
        <v>3.65E-3</v>
      </c>
      <c r="D68" s="2">
        <v>13</v>
      </c>
      <c r="E68" s="44">
        <v>4.1099999999999999E-3</v>
      </c>
      <c r="F68" s="2">
        <v>23</v>
      </c>
      <c r="G68" s="44"/>
      <c r="H68" s="1"/>
      <c r="I68" s="1"/>
      <c r="K68" s="1"/>
      <c r="L68" s="1"/>
      <c r="M68" s="1"/>
      <c r="N68" s="1"/>
    </row>
    <row r="69" spans="1:14" ht="15.75" x14ac:dyDescent="0.25">
      <c r="B69" s="2">
        <v>4</v>
      </c>
      <c r="C69" s="44">
        <v>4.0400000000000002E-3</v>
      </c>
      <c r="D69" s="2">
        <v>14</v>
      </c>
      <c r="E69" s="44">
        <v>3.81E-3</v>
      </c>
      <c r="F69" s="2">
        <v>24</v>
      </c>
      <c r="G69" s="44"/>
      <c r="H69" s="1"/>
      <c r="I69" s="1"/>
      <c r="K69" s="1"/>
      <c r="L69" s="1"/>
      <c r="M69" s="1"/>
      <c r="N69" s="1"/>
    </row>
    <row r="70" spans="1:14" ht="15.75" x14ac:dyDescent="0.25">
      <c r="B70" s="2">
        <v>5</v>
      </c>
      <c r="C70" s="44">
        <v>4.1000000000000003E-3</v>
      </c>
      <c r="D70" s="2">
        <v>15</v>
      </c>
      <c r="E70" s="44">
        <v>4.0899999999999999E-3</v>
      </c>
      <c r="F70" s="2">
        <v>25</v>
      </c>
      <c r="G70" s="44"/>
      <c r="H70" s="1"/>
      <c r="I70" s="1"/>
      <c r="K70" s="1"/>
      <c r="L70" s="1"/>
      <c r="M70" s="1"/>
      <c r="N70" s="1"/>
    </row>
    <row r="71" spans="1:14" ht="15.75" x14ac:dyDescent="0.25">
      <c r="B71" s="2">
        <v>6</v>
      </c>
      <c r="C71" s="44">
        <v>3.7399999999999998E-3</v>
      </c>
      <c r="D71" s="2">
        <v>16</v>
      </c>
      <c r="E71" s="44">
        <v>3.8600000000000001E-3</v>
      </c>
      <c r="F71" s="2">
        <v>26</v>
      </c>
      <c r="G71" s="44"/>
      <c r="H71" s="1"/>
      <c r="I71" s="1"/>
      <c r="K71" s="1"/>
      <c r="L71" s="1"/>
      <c r="M71" s="1"/>
      <c r="N71" s="1"/>
    </row>
    <row r="72" spans="1:14" ht="15.75" x14ac:dyDescent="0.25">
      <c r="B72" s="2">
        <v>7</v>
      </c>
      <c r="C72" s="44">
        <v>3.7499999999999999E-3</v>
      </c>
      <c r="D72" s="2">
        <v>17</v>
      </c>
      <c r="E72" s="44"/>
      <c r="F72" s="2">
        <v>27</v>
      </c>
      <c r="G72" s="44"/>
      <c r="H72" s="1"/>
      <c r="I72" s="1"/>
      <c r="K72" s="1"/>
      <c r="L72" s="1"/>
      <c r="M72" s="1"/>
      <c r="N72" s="1"/>
    </row>
    <row r="73" spans="1:14" ht="15.75" x14ac:dyDescent="0.25">
      <c r="B73" s="2">
        <v>8</v>
      </c>
      <c r="C73" s="44">
        <v>4.0699999999999998E-3</v>
      </c>
      <c r="D73" s="2">
        <v>18</v>
      </c>
      <c r="E73" s="44"/>
      <c r="F73" s="2">
        <v>28</v>
      </c>
      <c r="G73" s="44"/>
      <c r="H73" s="1"/>
      <c r="I73" s="1"/>
      <c r="K73" s="1"/>
      <c r="L73" s="1"/>
      <c r="M73" s="1"/>
      <c r="N73" s="1"/>
    </row>
    <row r="74" spans="1:14" ht="15.75" x14ac:dyDescent="0.25">
      <c r="B74" s="2">
        <v>9</v>
      </c>
      <c r="C74" s="44">
        <v>3.81E-3</v>
      </c>
      <c r="D74" s="2">
        <v>19</v>
      </c>
      <c r="E74" s="44"/>
      <c r="F74" s="2">
        <v>29</v>
      </c>
      <c r="G74" s="44"/>
      <c r="H74" s="1"/>
      <c r="I74" s="1"/>
      <c r="K74" s="1"/>
      <c r="L74" s="1"/>
      <c r="M74" s="1"/>
      <c r="N74" s="1"/>
    </row>
    <row r="75" spans="1:14" ht="15.75" x14ac:dyDescent="0.25">
      <c r="B75" s="2">
        <v>10</v>
      </c>
      <c r="C75" s="44">
        <v>4.1799999999999997E-3</v>
      </c>
      <c r="D75" s="2">
        <v>20</v>
      </c>
      <c r="E75" s="44"/>
      <c r="F75" s="2">
        <v>30</v>
      </c>
      <c r="G75" s="44"/>
      <c r="H75" s="1"/>
      <c r="I75" s="1"/>
      <c r="K75" s="1"/>
      <c r="L75" s="1"/>
      <c r="M75" s="1"/>
      <c r="N75" s="1"/>
    </row>
    <row r="76" spans="1:14" ht="15.75" x14ac:dyDescent="0.25"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</row>
    <row r="77" spans="1:14" ht="15.75" x14ac:dyDescent="0.25">
      <c r="B77" s="1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</row>
    <row r="78" spans="1:14" ht="85.5" customHeight="1" x14ac:dyDescent="0.25">
      <c r="A78" s="73" t="s">
        <v>69</v>
      </c>
      <c r="B78" s="73"/>
      <c r="C78" s="73"/>
      <c r="D78" s="73"/>
      <c r="E78" s="73"/>
      <c r="F78" s="73"/>
      <c r="G78" s="74"/>
      <c r="H78" s="74"/>
      <c r="I78" s="1"/>
      <c r="J78" s="13"/>
      <c r="K78" s="1"/>
      <c r="L78" s="1"/>
      <c r="M78" s="1"/>
      <c r="N78" s="1"/>
    </row>
    <row r="79" spans="1:14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3"/>
      <c r="K79" s="1"/>
      <c r="L79" s="1"/>
      <c r="M79" s="1"/>
      <c r="N79" s="1"/>
    </row>
    <row r="80" spans="1:14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3"/>
      <c r="K80" s="1"/>
      <c r="L80" s="1"/>
      <c r="M80" s="1"/>
      <c r="N80" s="1"/>
    </row>
    <row r="81" spans="1:14" ht="15.75" x14ac:dyDescent="0.25">
      <c r="A81" s="8"/>
      <c r="B81" s="9"/>
      <c r="C81" s="1"/>
      <c r="D81" s="1"/>
      <c r="E81" s="1"/>
      <c r="F81" s="1"/>
      <c r="G81" s="1"/>
      <c r="H81" s="1"/>
      <c r="I81" s="1"/>
      <c r="J81" s="13"/>
      <c r="K81" s="1"/>
      <c r="L81" s="1"/>
      <c r="M81" s="1"/>
      <c r="N81" s="1"/>
    </row>
    <row r="82" spans="1:14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3"/>
      <c r="K82" s="1"/>
      <c r="L82" s="1"/>
      <c r="M82" s="1"/>
      <c r="N82" s="1"/>
    </row>
    <row r="83" spans="1:14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3"/>
      <c r="K83" s="1"/>
      <c r="L83" s="1"/>
      <c r="M83" s="1"/>
      <c r="N83" s="1"/>
    </row>
    <row r="84" spans="1:14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3"/>
      <c r="K84" s="1"/>
      <c r="L84" s="1"/>
      <c r="M84" s="1"/>
      <c r="N84" s="1"/>
    </row>
    <row r="85" spans="1:14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3"/>
      <c r="K85" s="1"/>
      <c r="L85" s="1"/>
      <c r="M85" s="1"/>
      <c r="N85" s="1"/>
    </row>
    <row r="86" spans="1:14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3"/>
      <c r="K86" s="1"/>
      <c r="L86" s="1"/>
      <c r="M86" s="1"/>
      <c r="N86" s="1"/>
    </row>
    <row r="87" spans="1:14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3"/>
      <c r="K87" s="1"/>
      <c r="L87" s="1"/>
      <c r="M87" s="1"/>
      <c r="N87" s="1"/>
    </row>
    <row r="88" spans="1:14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3"/>
      <c r="K88" s="1"/>
      <c r="L88" s="1"/>
      <c r="M88" s="1"/>
      <c r="N88" s="1"/>
    </row>
    <row r="89" spans="1:14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3"/>
      <c r="K89" s="1"/>
      <c r="L89" s="1"/>
      <c r="M89" s="1"/>
      <c r="N89" s="1"/>
    </row>
    <row r="90" spans="1:14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3"/>
      <c r="K90" s="1"/>
      <c r="L90" s="1"/>
      <c r="M90" s="1"/>
      <c r="N90" s="1"/>
    </row>
    <row r="91" spans="1:14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3"/>
      <c r="K91" s="1"/>
      <c r="L91" s="1"/>
      <c r="M91" s="1"/>
      <c r="N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3"/>
      <c r="K92" s="1"/>
      <c r="L92" s="1"/>
      <c r="M92" s="1"/>
      <c r="N92" s="1"/>
    </row>
    <row r="93" spans="1:14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3"/>
      <c r="K93" s="1"/>
      <c r="L93" s="1"/>
      <c r="M93" s="1"/>
      <c r="N93" s="1"/>
    </row>
    <row r="94" spans="1:14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3"/>
      <c r="K94" s="1"/>
      <c r="L94" s="1"/>
      <c r="M94" s="1"/>
      <c r="N94" s="1"/>
    </row>
    <row r="95" spans="1:14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3"/>
      <c r="K95" s="1"/>
      <c r="L95" s="1"/>
      <c r="M95" s="1"/>
      <c r="N95" s="1"/>
    </row>
    <row r="96" spans="1:14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3"/>
      <c r="K96" s="1"/>
      <c r="L96" s="1"/>
      <c r="M96" s="1"/>
      <c r="N96" s="1"/>
    </row>
    <row r="97" spans="1:14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3"/>
      <c r="K97" s="1"/>
      <c r="L97" s="1"/>
      <c r="M97" s="1"/>
      <c r="N97" s="1"/>
    </row>
    <row r="98" spans="1:14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3"/>
      <c r="K98" s="1"/>
      <c r="L98" s="1"/>
      <c r="M98" s="1"/>
      <c r="N98" s="1"/>
    </row>
    <row r="99" spans="1:14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3"/>
      <c r="K99" s="1"/>
      <c r="L99" s="1"/>
      <c r="M99" s="1"/>
      <c r="N99" s="1"/>
    </row>
    <row r="100" spans="1:14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3"/>
      <c r="K100" s="1"/>
      <c r="L100" s="1"/>
      <c r="M100" s="1"/>
      <c r="N100" s="1"/>
    </row>
    <row r="101" spans="1: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3"/>
      <c r="K101" s="1"/>
      <c r="L101" s="1"/>
      <c r="M101" s="1"/>
      <c r="N101" s="1"/>
    </row>
    <row r="102" spans="1:14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3"/>
      <c r="K102" s="1"/>
      <c r="L102" s="1"/>
      <c r="M102" s="1"/>
      <c r="N102" s="1"/>
    </row>
    <row r="103" spans="1:14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3"/>
      <c r="K103" s="1"/>
      <c r="L103" s="1"/>
      <c r="M103" s="1"/>
      <c r="N103" s="1"/>
    </row>
    <row r="104" spans="1:14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3"/>
      <c r="K104" s="1"/>
      <c r="L104" s="1"/>
      <c r="M104" s="1"/>
      <c r="N104" s="1"/>
    </row>
    <row r="105" spans="1:14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3"/>
      <c r="K105" s="1"/>
      <c r="L105" s="1"/>
      <c r="M105" s="1"/>
      <c r="N105" s="1"/>
    </row>
    <row r="106" spans="1:14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3"/>
      <c r="K106" s="1"/>
      <c r="L106" s="1"/>
      <c r="M106" s="1"/>
      <c r="N106" s="1"/>
    </row>
    <row r="107" spans="1:14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3"/>
      <c r="K107" s="1"/>
      <c r="L107" s="1"/>
      <c r="M107" s="1"/>
      <c r="N107" s="1"/>
    </row>
    <row r="108" spans="1:14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3"/>
      <c r="K108" s="1"/>
      <c r="L108" s="1"/>
      <c r="M108" s="1"/>
      <c r="N108" s="1"/>
    </row>
    <row r="109" spans="1:14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3"/>
      <c r="K109" s="1"/>
      <c r="L109" s="1"/>
      <c r="M109" s="1"/>
      <c r="N109" s="1"/>
    </row>
    <row r="110" spans="1:14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3"/>
      <c r="K110" s="1"/>
      <c r="L110" s="1"/>
      <c r="M110" s="1"/>
      <c r="N110" s="1"/>
    </row>
    <row r="111" spans="1:14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3"/>
      <c r="K111" s="1"/>
      <c r="L111" s="1"/>
      <c r="M111" s="1"/>
      <c r="N111" s="1"/>
    </row>
    <row r="112" spans="1:14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3"/>
      <c r="K112" s="1"/>
      <c r="L112" s="1"/>
      <c r="M112" s="1"/>
      <c r="N112" s="1"/>
    </row>
    <row r="113" spans="1:14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3"/>
      <c r="K113" s="1"/>
      <c r="L113" s="1"/>
      <c r="M113" s="1"/>
      <c r="N113" s="1"/>
    </row>
    <row r="114" spans="1:14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3"/>
      <c r="K114" s="1"/>
      <c r="L114" s="1"/>
      <c r="M114" s="1"/>
      <c r="N114" s="1"/>
    </row>
    <row r="115" spans="1:14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3"/>
      <c r="K115" s="1"/>
      <c r="L115" s="1"/>
      <c r="M115" s="1"/>
      <c r="N115" s="1"/>
    </row>
    <row r="116" spans="1:14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3"/>
      <c r="K116" s="1"/>
      <c r="L116" s="1"/>
      <c r="M116" s="1"/>
      <c r="N116" s="1"/>
    </row>
    <row r="117" spans="1:14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3"/>
      <c r="K117" s="1"/>
      <c r="L117" s="1"/>
      <c r="M117" s="1"/>
      <c r="N117" s="1"/>
    </row>
    <row r="118" spans="1:14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3"/>
      <c r="K118" s="1"/>
      <c r="L118" s="1"/>
      <c r="M118" s="1"/>
      <c r="N118" s="1"/>
    </row>
    <row r="119" spans="1:14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3"/>
      <c r="K119" s="1"/>
      <c r="L119" s="1"/>
      <c r="M119" s="1"/>
      <c r="N119" s="1"/>
    </row>
    <row r="120" spans="1:14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3"/>
      <c r="K120" s="1"/>
      <c r="L120" s="1"/>
      <c r="M120" s="1"/>
      <c r="N120" s="1"/>
    </row>
    <row r="121" spans="1:14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3"/>
      <c r="K121" s="1"/>
      <c r="L121" s="1"/>
      <c r="M121" s="1"/>
      <c r="N121" s="1"/>
    </row>
    <row r="122" spans="1:14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3"/>
      <c r="K122" s="1"/>
      <c r="L122" s="1"/>
      <c r="M122" s="1"/>
      <c r="N122" s="1"/>
    </row>
    <row r="123" spans="1:14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3"/>
      <c r="K123" s="1"/>
      <c r="L123" s="1"/>
      <c r="M123" s="1"/>
      <c r="N123" s="1"/>
    </row>
    <row r="124" spans="1:14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3"/>
      <c r="K124" s="1"/>
      <c r="L124" s="1"/>
      <c r="M124" s="1"/>
      <c r="N124" s="1"/>
    </row>
    <row r="125" spans="1:14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3"/>
      <c r="K125" s="1"/>
      <c r="L125" s="1"/>
      <c r="M125" s="1"/>
      <c r="N125" s="1"/>
    </row>
    <row r="126" spans="1:14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3"/>
      <c r="K126" s="1"/>
      <c r="L126" s="1"/>
      <c r="M126" s="1"/>
      <c r="N126" s="1"/>
    </row>
    <row r="127" spans="1:14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3"/>
      <c r="K127" s="1"/>
      <c r="L127" s="1"/>
      <c r="M127" s="1"/>
      <c r="N127" s="1"/>
    </row>
    <row r="128" spans="1:14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3"/>
      <c r="K128" s="1"/>
      <c r="L128" s="1"/>
      <c r="M128" s="1"/>
      <c r="N128" s="1"/>
    </row>
    <row r="129" spans="1:14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3"/>
      <c r="K129" s="1"/>
      <c r="L129" s="1"/>
      <c r="M129" s="1"/>
      <c r="N129" s="1"/>
    </row>
    <row r="130" spans="1:14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3"/>
      <c r="K130" s="1"/>
      <c r="L130" s="1"/>
      <c r="M130" s="1"/>
      <c r="N130" s="1"/>
    </row>
    <row r="131" spans="1:14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3"/>
      <c r="K131" s="1"/>
      <c r="L131" s="1"/>
      <c r="M131" s="1"/>
      <c r="N131" s="1"/>
    </row>
    <row r="132" spans="1:14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3"/>
      <c r="K132" s="1"/>
      <c r="L132" s="1"/>
      <c r="M132" s="1"/>
      <c r="N132" s="1"/>
    </row>
    <row r="133" spans="1:14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3"/>
      <c r="K133" s="1"/>
      <c r="L133" s="1"/>
      <c r="M133" s="1"/>
      <c r="N133" s="1"/>
    </row>
    <row r="134" spans="1:14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"/>
      <c r="L134" s="1"/>
      <c r="M134" s="1"/>
      <c r="N134" s="1"/>
    </row>
    <row r="135" spans="1:14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"/>
      <c r="L135" s="1"/>
      <c r="M135" s="1"/>
      <c r="N135" s="1"/>
    </row>
    <row r="136" spans="1:14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3"/>
      <c r="K136" s="1"/>
      <c r="L136" s="1"/>
      <c r="M136" s="1"/>
      <c r="N136" s="1"/>
    </row>
    <row r="137" spans="1:14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3"/>
      <c r="K137" s="1"/>
      <c r="L137" s="1"/>
      <c r="M137" s="1"/>
      <c r="N137" s="1"/>
    </row>
    <row r="138" spans="1:14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3"/>
      <c r="K138" s="1"/>
      <c r="L138" s="1"/>
      <c r="M138" s="1"/>
      <c r="N138" s="1"/>
    </row>
    <row r="139" spans="1:14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3"/>
      <c r="K139" s="1"/>
      <c r="L139" s="1"/>
      <c r="M139" s="1"/>
      <c r="N139" s="1"/>
    </row>
    <row r="140" spans="1:14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"/>
      <c r="L140" s="1"/>
      <c r="M140" s="1"/>
      <c r="N140" s="1"/>
    </row>
    <row r="141" spans="1:14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3"/>
      <c r="K141" s="1"/>
      <c r="L141" s="1"/>
      <c r="M141" s="1"/>
      <c r="N141" s="1"/>
    </row>
    <row r="142" spans="1:14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3"/>
      <c r="K142" s="1"/>
      <c r="L142" s="1"/>
      <c r="M142" s="1"/>
      <c r="N142" s="1"/>
    </row>
    <row r="143" spans="1:14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3"/>
      <c r="K143" s="1"/>
      <c r="L143" s="1"/>
      <c r="M143" s="1"/>
      <c r="N143" s="1"/>
    </row>
    <row r="144" spans="1:14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3"/>
      <c r="K144" s="1"/>
      <c r="L144" s="1"/>
      <c r="M144" s="1"/>
      <c r="N144" s="1"/>
    </row>
    <row r="145" spans="1:14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3"/>
      <c r="K145" s="1"/>
      <c r="L145" s="1"/>
      <c r="M145" s="1"/>
      <c r="N145" s="1"/>
    </row>
    <row r="146" spans="1:14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3"/>
      <c r="K146" s="1"/>
      <c r="L146" s="1"/>
      <c r="M146" s="1"/>
      <c r="N146" s="1"/>
    </row>
    <row r="147" spans="1:14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3"/>
      <c r="K147" s="1"/>
      <c r="L147" s="1"/>
      <c r="M147" s="1"/>
      <c r="N147" s="1"/>
    </row>
    <row r="148" spans="1:14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3"/>
      <c r="K148" s="1"/>
      <c r="L148" s="1"/>
      <c r="M148" s="1"/>
      <c r="N148" s="1"/>
    </row>
    <row r="149" spans="1:14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3"/>
      <c r="K149" s="1"/>
      <c r="L149" s="1"/>
      <c r="M149" s="1"/>
      <c r="N149" s="1"/>
    </row>
    <row r="150" spans="1:14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3"/>
      <c r="K150" s="1"/>
      <c r="L150" s="1"/>
      <c r="M150" s="1"/>
      <c r="N150" s="1"/>
    </row>
    <row r="151" spans="1:14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3"/>
      <c r="K151" s="1"/>
      <c r="L151" s="1"/>
      <c r="M151" s="1"/>
      <c r="N151" s="1"/>
    </row>
    <row r="152" spans="1:14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3"/>
      <c r="K152" s="1"/>
      <c r="L152" s="1"/>
      <c r="M152" s="1"/>
      <c r="N152" s="1"/>
    </row>
    <row r="153" spans="1:14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3"/>
      <c r="K153" s="1"/>
      <c r="L153" s="1"/>
      <c r="M153" s="1"/>
      <c r="N153" s="1"/>
    </row>
    <row r="154" spans="1:14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3"/>
      <c r="K154" s="1"/>
      <c r="L154" s="1"/>
      <c r="M154" s="1"/>
      <c r="N154" s="1"/>
    </row>
    <row r="155" spans="1:14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3"/>
      <c r="K155" s="1"/>
      <c r="L155" s="1"/>
      <c r="M155" s="1"/>
      <c r="N155" s="1"/>
    </row>
    <row r="156" spans="1:14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3"/>
      <c r="K156" s="1"/>
      <c r="L156" s="1"/>
      <c r="M156" s="1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3"/>
      <c r="K157" s="1"/>
      <c r="L157" s="1"/>
      <c r="M157" s="1"/>
      <c r="N157" s="1"/>
    </row>
    <row r="158" spans="1:14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3"/>
      <c r="K158" s="1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3"/>
      <c r="K159" s="1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3"/>
      <c r="K160" s="1"/>
      <c r="L160" s="1"/>
      <c r="M160" s="1"/>
      <c r="N160" s="1"/>
    </row>
    <row r="161" spans="1:14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3"/>
      <c r="K162" s="1"/>
      <c r="L162" s="1"/>
      <c r="M162" s="1"/>
      <c r="N162" s="1"/>
    </row>
    <row r="163" spans="1:14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3"/>
      <c r="K163" s="1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3"/>
      <c r="K164" s="1"/>
      <c r="L164" s="1"/>
      <c r="M164" s="1"/>
      <c r="N164" s="1"/>
    </row>
    <row r="165" spans="1:14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3"/>
      <c r="K165" s="1"/>
      <c r="L165" s="1"/>
      <c r="M165" s="1"/>
      <c r="N165" s="1"/>
    </row>
    <row r="166" spans="1:14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3"/>
      <c r="K166" s="1"/>
      <c r="L166" s="1"/>
      <c r="M166" s="1"/>
      <c r="N166" s="1"/>
    </row>
    <row r="167" spans="1:14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3"/>
      <c r="K167" s="1"/>
      <c r="L167" s="1"/>
      <c r="M167" s="1"/>
      <c r="N167" s="1"/>
    </row>
    <row r="168" spans="1:14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3"/>
      <c r="K168" s="1"/>
      <c r="L168" s="1"/>
      <c r="M168" s="1"/>
      <c r="N168" s="1"/>
    </row>
    <row r="169" spans="1:14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3"/>
      <c r="K169" s="1"/>
      <c r="L169" s="1"/>
      <c r="M169" s="1"/>
      <c r="N169" s="1"/>
    </row>
    <row r="170" spans="1:14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3"/>
      <c r="K170" s="1"/>
      <c r="L170" s="1"/>
      <c r="M170" s="1"/>
      <c r="N170" s="1"/>
    </row>
    <row r="171" spans="1:14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3"/>
      <c r="K171" s="1"/>
      <c r="L171" s="1"/>
      <c r="M171" s="1"/>
      <c r="N171" s="1"/>
    </row>
    <row r="172" spans="1:14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3"/>
      <c r="K172" s="1"/>
      <c r="L172" s="1"/>
      <c r="M172" s="1"/>
      <c r="N172" s="1"/>
    </row>
    <row r="173" spans="1:14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3"/>
      <c r="K173" s="1"/>
      <c r="L173" s="1"/>
      <c r="M173" s="1"/>
      <c r="N173" s="1"/>
    </row>
    <row r="174" spans="1:14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3"/>
      <c r="K174" s="1"/>
      <c r="L174" s="1"/>
      <c r="M174" s="1"/>
      <c r="N174" s="1"/>
    </row>
    <row r="175" spans="1:14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3"/>
      <c r="K175" s="1"/>
      <c r="L175" s="1"/>
      <c r="M175" s="1"/>
      <c r="N175" s="1"/>
    </row>
    <row r="176" spans="1:14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3"/>
      <c r="K176" s="1"/>
      <c r="L176" s="1"/>
      <c r="M176" s="1"/>
      <c r="N176" s="1"/>
    </row>
    <row r="177" spans="1:14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3"/>
      <c r="K177" s="1"/>
      <c r="L177" s="1"/>
      <c r="M177" s="1"/>
      <c r="N177" s="1"/>
    </row>
    <row r="178" spans="1:14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3"/>
      <c r="K178" s="1"/>
      <c r="L178" s="1"/>
      <c r="M178" s="1"/>
      <c r="N178" s="1"/>
    </row>
    <row r="179" spans="1:14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3"/>
      <c r="K179" s="1"/>
      <c r="L179" s="1"/>
      <c r="M179" s="1"/>
      <c r="N179" s="1"/>
    </row>
    <row r="180" spans="1:14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3"/>
      <c r="K180" s="1"/>
      <c r="L180" s="1"/>
      <c r="M180" s="1"/>
      <c r="N180" s="1"/>
    </row>
    <row r="181" spans="1:14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3"/>
      <c r="K181" s="1"/>
      <c r="L181" s="1"/>
      <c r="M181" s="1"/>
      <c r="N181" s="1"/>
    </row>
    <row r="182" spans="1:14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3"/>
      <c r="K182" s="1"/>
      <c r="L182" s="1"/>
      <c r="M182" s="1"/>
      <c r="N182" s="1"/>
    </row>
    <row r="183" spans="1:14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3"/>
      <c r="K183" s="1"/>
      <c r="L183" s="1"/>
      <c r="M183" s="1"/>
      <c r="N183" s="1"/>
    </row>
    <row r="184" spans="1:14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3"/>
      <c r="K184" s="1"/>
      <c r="L184" s="1"/>
      <c r="M184" s="1"/>
      <c r="N184" s="1"/>
    </row>
    <row r="185" spans="1:14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3"/>
      <c r="K185" s="1"/>
      <c r="L185" s="1"/>
      <c r="M185" s="1"/>
      <c r="N185" s="1"/>
    </row>
    <row r="186" spans="1:14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3"/>
      <c r="K186" s="1"/>
      <c r="L186" s="1"/>
      <c r="M186" s="1"/>
      <c r="N186" s="1"/>
    </row>
    <row r="187" spans="1:14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3"/>
      <c r="K187" s="1"/>
      <c r="L187" s="1"/>
      <c r="M187" s="1"/>
      <c r="N187" s="1"/>
    </row>
    <row r="188" spans="1:14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3"/>
      <c r="K188" s="1"/>
      <c r="L188" s="1"/>
      <c r="M188" s="1"/>
      <c r="N188" s="1"/>
    </row>
    <row r="189" spans="1:14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3"/>
      <c r="K189" s="1"/>
      <c r="L189" s="1"/>
      <c r="M189" s="1"/>
      <c r="N189" s="1"/>
    </row>
    <row r="190" spans="1:14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3"/>
      <c r="K190" s="1"/>
      <c r="L190" s="1"/>
      <c r="M190" s="1"/>
      <c r="N190" s="1"/>
    </row>
    <row r="191" spans="1:14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3"/>
      <c r="K191" s="1"/>
      <c r="L191" s="1"/>
      <c r="M191" s="1"/>
      <c r="N191" s="1"/>
    </row>
    <row r="192" spans="1:14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3"/>
      <c r="K192" s="1"/>
      <c r="L192" s="1"/>
      <c r="M192" s="1"/>
      <c r="N192" s="1"/>
    </row>
    <row r="193" spans="1:14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3"/>
      <c r="K193" s="1"/>
      <c r="L193" s="1"/>
      <c r="M193" s="1"/>
      <c r="N193" s="1"/>
    </row>
    <row r="194" spans="1:14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3"/>
      <c r="K194" s="1"/>
      <c r="L194" s="1"/>
      <c r="M194" s="1"/>
      <c r="N194" s="1"/>
    </row>
    <row r="195" spans="1:14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3"/>
      <c r="K195" s="1"/>
      <c r="L195" s="1"/>
      <c r="M195" s="1"/>
      <c r="N195" s="1"/>
    </row>
    <row r="196" spans="1:14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3"/>
      <c r="K196" s="1"/>
      <c r="L196" s="1"/>
      <c r="M196" s="1"/>
      <c r="N196" s="1"/>
    </row>
    <row r="197" spans="1:14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3"/>
      <c r="K197" s="1"/>
      <c r="L197" s="1"/>
      <c r="M197" s="1"/>
      <c r="N197" s="1"/>
    </row>
    <row r="198" spans="1:14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3"/>
      <c r="K198" s="1"/>
      <c r="L198" s="1"/>
      <c r="M198" s="1"/>
      <c r="N198" s="1"/>
    </row>
    <row r="199" spans="1:14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3"/>
      <c r="K199" s="1"/>
      <c r="L199" s="1"/>
      <c r="M199" s="1"/>
      <c r="N199" s="1"/>
    </row>
    <row r="200" spans="1:14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3"/>
      <c r="K200" s="1"/>
      <c r="L200" s="1"/>
      <c r="M200" s="1"/>
      <c r="N200" s="1"/>
    </row>
    <row r="201" spans="1:14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3"/>
      <c r="K201" s="1"/>
      <c r="L201" s="1"/>
      <c r="M201" s="1"/>
      <c r="N201" s="1"/>
    </row>
    <row r="202" spans="1:14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3"/>
      <c r="K202" s="1"/>
      <c r="L202" s="1"/>
      <c r="M202" s="1"/>
      <c r="N202" s="1"/>
    </row>
    <row r="203" spans="1:14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3"/>
      <c r="K203" s="1"/>
      <c r="L203" s="1"/>
      <c r="M203" s="1"/>
      <c r="N203" s="1"/>
    </row>
    <row r="204" spans="1:14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3"/>
      <c r="K204" s="1"/>
      <c r="L204" s="1"/>
      <c r="M204" s="1"/>
      <c r="N204" s="1"/>
    </row>
    <row r="205" spans="1:14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3"/>
      <c r="K205" s="1"/>
      <c r="L205" s="1"/>
      <c r="M205" s="1"/>
      <c r="N205" s="1"/>
    </row>
    <row r="206" spans="1:14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3"/>
      <c r="K206" s="1"/>
      <c r="L206" s="1"/>
      <c r="M206" s="1"/>
      <c r="N206" s="1"/>
    </row>
    <row r="207" spans="1:14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3"/>
      <c r="K207" s="1"/>
      <c r="L207" s="1"/>
      <c r="M207" s="1"/>
      <c r="N207" s="1"/>
    </row>
    <row r="208" spans="1:14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3"/>
      <c r="K208" s="1"/>
      <c r="L208" s="1"/>
      <c r="M208" s="1"/>
      <c r="N208" s="1"/>
    </row>
    <row r="209" spans="1:14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3"/>
      <c r="K209" s="1"/>
      <c r="L209" s="1"/>
      <c r="M209" s="1"/>
      <c r="N209" s="1"/>
    </row>
    <row r="210" spans="1:14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3"/>
      <c r="K210" s="1"/>
      <c r="L210" s="1"/>
      <c r="M210" s="1"/>
      <c r="N210" s="1"/>
    </row>
    <row r="211" spans="1:14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3"/>
      <c r="K211" s="1"/>
      <c r="L211" s="1"/>
      <c r="M211" s="1"/>
      <c r="N211" s="1"/>
    </row>
    <row r="212" spans="1:14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3"/>
      <c r="K212" s="1"/>
      <c r="L212" s="1"/>
      <c r="M212" s="1"/>
      <c r="N212" s="1"/>
    </row>
    <row r="213" spans="1:14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3"/>
      <c r="K213" s="1"/>
      <c r="L213" s="1"/>
      <c r="M213" s="1"/>
      <c r="N213" s="1"/>
    </row>
    <row r="214" spans="1:14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3"/>
      <c r="K214" s="1"/>
      <c r="L214" s="1"/>
      <c r="M214" s="1"/>
      <c r="N214" s="1"/>
    </row>
    <row r="215" spans="1:14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3"/>
      <c r="K215" s="1"/>
      <c r="L215" s="1"/>
      <c r="M215" s="1"/>
      <c r="N215" s="1"/>
    </row>
    <row r="216" spans="1:14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3"/>
      <c r="K216" s="1"/>
      <c r="L216" s="1"/>
      <c r="M216" s="1"/>
      <c r="N216" s="1"/>
    </row>
    <row r="217" spans="1:14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3"/>
      <c r="K217" s="1"/>
      <c r="L217" s="1"/>
      <c r="M217" s="1"/>
      <c r="N217" s="1"/>
    </row>
    <row r="218" spans="1:14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3"/>
      <c r="K218" s="1"/>
      <c r="L218" s="1"/>
      <c r="M218" s="1"/>
      <c r="N218" s="1"/>
    </row>
    <row r="219" spans="1:14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3"/>
      <c r="K219" s="1"/>
      <c r="L219" s="1"/>
      <c r="M219" s="1"/>
      <c r="N219" s="1"/>
    </row>
    <row r="220" spans="1:14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3"/>
      <c r="K220" s="1"/>
      <c r="L220" s="1"/>
      <c r="M220" s="1"/>
      <c r="N220" s="1"/>
    </row>
    <row r="221" spans="1:14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3"/>
      <c r="K221" s="1"/>
      <c r="L221" s="1"/>
      <c r="M221" s="1"/>
      <c r="N221" s="1"/>
    </row>
    <row r="222" spans="1:14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3"/>
      <c r="K222" s="1"/>
      <c r="L222" s="1"/>
      <c r="M222" s="1"/>
      <c r="N222" s="1"/>
    </row>
    <row r="223" spans="1:14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3"/>
      <c r="K223" s="1"/>
      <c r="L223" s="1"/>
      <c r="M223" s="1"/>
      <c r="N223" s="1"/>
    </row>
    <row r="224" spans="1:14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3"/>
      <c r="K224" s="1"/>
      <c r="L224" s="1"/>
      <c r="M224" s="1"/>
      <c r="N224" s="1"/>
    </row>
    <row r="225" spans="1:14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3"/>
      <c r="K225" s="1"/>
      <c r="L225" s="1"/>
      <c r="M225" s="1"/>
      <c r="N225" s="1"/>
    </row>
    <row r="226" spans="1:14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3"/>
      <c r="K226" s="1"/>
      <c r="L226" s="1"/>
      <c r="M226" s="1"/>
      <c r="N226" s="1"/>
    </row>
    <row r="227" spans="1:14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3"/>
      <c r="K227" s="1"/>
      <c r="L227" s="1"/>
      <c r="M227" s="1"/>
      <c r="N227" s="1"/>
    </row>
    <row r="228" spans="1:14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3"/>
      <c r="K228" s="1"/>
      <c r="L228" s="1"/>
      <c r="M228" s="1"/>
      <c r="N228" s="1"/>
    </row>
    <row r="229" spans="1:14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3"/>
      <c r="K229" s="1"/>
      <c r="L229" s="1"/>
      <c r="M229" s="1"/>
      <c r="N229" s="1"/>
    </row>
    <row r="230" spans="1:14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3"/>
      <c r="K230" s="1"/>
      <c r="L230" s="1"/>
      <c r="M230" s="1"/>
      <c r="N230" s="1"/>
    </row>
    <row r="231" spans="1:14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3"/>
      <c r="K231" s="1"/>
      <c r="L231" s="1"/>
      <c r="M231" s="1"/>
      <c r="N231" s="1"/>
    </row>
    <row r="232" spans="1:14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3"/>
      <c r="K232" s="1"/>
      <c r="L232" s="1"/>
      <c r="M232" s="1"/>
      <c r="N232" s="1"/>
    </row>
    <row r="233" spans="1:14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3"/>
      <c r="K233" s="1"/>
      <c r="L233" s="1"/>
      <c r="M233" s="1"/>
      <c r="N233" s="1"/>
    </row>
    <row r="234" spans="1:14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3"/>
      <c r="K234" s="1"/>
      <c r="L234" s="1"/>
      <c r="M234" s="1"/>
      <c r="N234" s="1"/>
    </row>
    <row r="235" spans="1:14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3"/>
      <c r="K235" s="1"/>
      <c r="L235" s="1"/>
      <c r="M235" s="1"/>
      <c r="N235" s="1"/>
    </row>
    <row r="236" spans="1:14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3"/>
      <c r="K236" s="1"/>
      <c r="L236" s="1"/>
      <c r="M236" s="1"/>
      <c r="N236" s="1"/>
    </row>
    <row r="237" spans="1:14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3"/>
      <c r="K237" s="1"/>
      <c r="L237" s="1"/>
      <c r="M237" s="1"/>
      <c r="N237" s="1"/>
    </row>
    <row r="238" spans="1:14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3"/>
      <c r="K238" s="1"/>
      <c r="L238" s="1"/>
      <c r="M238" s="1"/>
      <c r="N238" s="1"/>
    </row>
    <row r="239" spans="1:14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3"/>
      <c r="K239" s="1"/>
      <c r="L239" s="1"/>
      <c r="M239" s="1"/>
      <c r="N239" s="1"/>
    </row>
    <row r="240" spans="1:14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3"/>
      <c r="K240" s="1"/>
      <c r="L240" s="1"/>
      <c r="M240" s="1"/>
      <c r="N240" s="1"/>
    </row>
    <row r="241" spans="1:14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3"/>
      <c r="K241" s="1"/>
      <c r="L241" s="1"/>
      <c r="M241" s="1"/>
      <c r="N241" s="1"/>
    </row>
    <row r="242" spans="1:14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3"/>
      <c r="K242" s="1"/>
      <c r="L242" s="1"/>
      <c r="M242" s="1"/>
      <c r="N242" s="1"/>
    </row>
    <row r="243" spans="1:14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3"/>
      <c r="K243" s="1"/>
      <c r="L243" s="1"/>
      <c r="M243" s="1"/>
      <c r="N243" s="1"/>
    </row>
    <row r="244" spans="1:14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3"/>
      <c r="K244" s="1"/>
      <c r="L244" s="1"/>
      <c r="M244" s="1"/>
      <c r="N244" s="1"/>
    </row>
    <row r="245" spans="1:14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3"/>
      <c r="K245" s="1"/>
      <c r="L245" s="1"/>
      <c r="M245" s="1"/>
      <c r="N245" s="1"/>
    </row>
    <row r="246" spans="1:14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3"/>
      <c r="K246" s="1"/>
      <c r="L246" s="1"/>
      <c r="M246" s="1"/>
      <c r="N246" s="1"/>
    </row>
    <row r="247" spans="1:14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3"/>
      <c r="K247" s="1"/>
      <c r="L247" s="1"/>
      <c r="M247" s="1"/>
      <c r="N247" s="1"/>
    </row>
    <row r="248" spans="1:14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3"/>
      <c r="K248" s="1"/>
      <c r="L248" s="1"/>
      <c r="M248" s="1"/>
      <c r="N248" s="1"/>
    </row>
    <row r="249" spans="1:14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3"/>
      <c r="K249" s="1"/>
      <c r="L249" s="1"/>
      <c r="M249" s="1"/>
      <c r="N249" s="1"/>
    </row>
    <row r="250" spans="1:14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3"/>
      <c r="K250" s="1"/>
      <c r="L250" s="1"/>
      <c r="M250" s="1"/>
      <c r="N250" s="1"/>
    </row>
    <row r="251" spans="1:14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3"/>
      <c r="K251" s="1"/>
      <c r="L251" s="1"/>
      <c r="M251" s="1"/>
      <c r="N251" s="1"/>
    </row>
    <row r="252" spans="1:14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3"/>
      <c r="K252" s="1"/>
      <c r="L252" s="1"/>
      <c r="M252" s="1"/>
      <c r="N252" s="1"/>
    </row>
    <row r="253" spans="1:14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3"/>
      <c r="K253" s="1"/>
      <c r="L253" s="1"/>
      <c r="M253" s="1"/>
      <c r="N253" s="1"/>
    </row>
    <row r="254" spans="1:14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3"/>
      <c r="K254" s="1"/>
      <c r="L254" s="1"/>
      <c r="M254" s="1"/>
      <c r="N254" s="1"/>
    </row>
    <row r="255" spans="1:14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3"/>
      <c r="K255" s="1"/>
      <c r="L255" s="1"/>
      <c r="M255" s="1"/>
      <c r="N255" s="1"/>
    </row>
    <row r="256" spans="1:14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3"/>
      <c r="K256" s="1"/>
      <c r="L256" s="1"/>
      <c r="M256" s="1"/>
      <c r="N256" s="1"/>
    </row>
    <row r="257" spans="1:14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3"/>
      <c r="K257" s="1"/>
      <c r="L257" s="1"/>
      <c r="M257" s="1"/>
      <c r="N257" s="1"/>
    </row>
    <row r="258" spans="1:14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3"/>
      <c r="K258" s="1"/>
      <c r="L258" s="1"/>
      <c r="M258" s="1"/>
      <c r="N258" s="1"/>
    </row>
    <row r="259" spans="1:14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3"/>
      <c r="K259" s="1"/>
      <c r="L259" s="1"/>
      <c r="M259" s="1"/>
      <c r="N259" s="1"/>
    </row>
    <row r="260" spans="1:14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3"/>
      <c r="K260" s="1"/>
      <c r="L260" s="1"/>
      <c r="M260" s="1"/>
      <c r="N260" s="1"/>
    </row>
    <row r="261" spans="1:14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3"/>
      <c r="K261" s="1"/>
      <c r="L261" s="1"/>
      <c r="M261" s="1"/>
      <c r="N261" s="1"/>
    </row>
    <row r="262" spans="1:14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3"/>
      <c r="K262" s="1"/>
      <c r="L262" s="1"/>
      <c r="M262" s="1"/>
      <c r="N262" s="1"/>
    </row>
    <row r="263" spans="1:14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3"/>
      <c r="K263" s="1"/>
      <c r="L263" s="1"/>
      <c r="M263" s="1"/>
      <c r="N263" s="1"/>
    </row>
    <row r="264" spans="1:14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3"/>
      <c r="K264" s="1"/>
      <c r="L264" s="1"/>
      <c r="M264" s="1"/>
      <c r="N264" s="1"/>
    </row>
    <row r="265" spans="1:14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3"/>
      <c r="K265" s="1"/>
      <c r="L265" s="1"/>
      <c r="M265" s="1"/>
      <c r="N265" s="1"/>
    </row>
    <row r="266" spans="1:14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3"/>
      <c r="K266" s="1"/>
      <c r="L266" s="1"/>
      <c r="M266" s="1"/>
      <c r="N266" s="1"/>
    </row>
    <row r="267" spans="1:14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3"/>
      <c r="K267" s="1"/>
      <c r="L267" s="1"/>
      <c r="M267" s="1"/>
      <c r="N267" s="1"/>
    </row>
    <row r="268" spans="1:14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3"/>
      <c r="K268" s="1"/>
      <c r="L268" s="1"/>
      <c r="M268" s="1"/>
      <c r="N268" s="1"/>
    </row>
    <row r="269" spans="1:14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3"/>
      <c r="K269" s="1"/>
      <c r="L269" s="1"/>
      <c r="M269" s="1"/>
      <c r="N269" s="1"/>
    </row>
    <row r="270" spans="1:14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3"/>
      <c r="K270" s="1"/>
      <c r="L270" s="1"/>
      <c r="M270" s="1"/>
      <c r="N270" s="1"/>
    </row>
    <row r="271" spans="1:14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3"/>
      <c r="K271" s="1"/>
      <c r="L271" s="1"/>
      <c r="M271" s="1"/>
      <c r="N271" s="1"/>
    </row>
    <row r="272" spans="1:14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3"/>
      <c r="K272" s="1"/>
      <c r="L272" s="1"/>
      <c r="M272" s="1"/>
      <c r="N272" s="1"/>
    </row>
    <row r="273" spans="1:14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3"/>
      <c r="K273" s="1"/>
      <c r="L273" s="1"/>
      <c r="M273" s="1"/>
      <c r="N273" s="1"/>
    </row>
    <row r="274" spans="1:14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3"/>
      <c r="K274" s="1"/>
      <c r="L274" s="1"/>
      <c r="M274" s="1"/>
      <c r="N274" s="1"/>
    </row>
  </sheetData>
  <sheetProtection sheet="1" objects="1" scenarios="1" formatCells="0" formatColumns="0" formatRows="0" autoFilter="0"/>
  <mergeCells count="48">
    <mergeCell ref="A78:H78"/>
    <mergeCell ref="A64:H64"/>
    <mergeCell ref="A25:H25"/>
    <mergeCell ref="A39:H39"/>
    <mergeCell ref="A1:H1"/>
    <mergeCell ref="E17:H17"/>
    <mergeCell ref="A17:D17"/>
    <mergeCell ref="A21:D21"/>
    <mergeCell ref="E5:H5"/>
    <mergeCell ref="E4:H4"/>
    <mergeCell ref="E7:H7"/>
    <mergeCell ref="E9:F9"/>
    <mergeCell ref="E11:F11"/>
    <mergeCell ref="E12:F12"/>
    <mergeCell ref="E14:F14"/>
    <mergeCell ref="E15:F15"/>
    <mergeCell ref="E16:F16"/>
    <mergeCell ref="A63:H63"/>
    <mergeCell ref="A3:D3"/>
    <mergeCell ref="E3:H3"/>
    <mergeCell ref="A19:D19"/>
    <mergeCell ref="A20:D20"/>
    <mergeCell ref="A4:D4"/>
    <mergeCell ref="A5:D5"/>
    <mergeCell ref="A6:D6"/>
    <mergeCell ref="A7:D7"/>
    <mergeCell ref="A18:D18"/>
    <mergeCell ref="E6:H6"/>
    <mergeCell ref="E10:F10"/>
    <mergeCell ref="A13:D13"/>
    <mergeCell ref="A8:D8"/>
    <mergeCell ref="A9:D9"/>
    <mergeCell ref="A15:D15"/>
    <mergeCell ref="A10:D10"/>
    <mergeCell ref="A38:H38"/>
    <mergeCell ref="A14:D14"/>
    <mergeCell ref="A22:D22"/>
    <mergeCell ref="E19:H19"/>
    <mergeCell ref="E20:H20"/>
    <mergeCell ref="E21:H21"/>
    <mergeCell ref="E22:H22"/>
    <mergeCell ref="E18:H18"/>
    <mergeCell ref="B37:G37"/>
    <mergeCell ref="A11:D11"/>
    <mergeCell ref="A16:D16"/>
    <mergeCell ref="E13:H13"/>
    <mergeCell ref="A24:H24"/>
    <mergeCell ref="A12:D12"/>
  </mergeCells>
  <dataValidations count="2">
    <dataValidation type="list" allowBlank="1" showInputMessage="1" showErrorMessage="1" sqref="E17:H17">
      <formula1>"одна рабочая проба,несколько рабочих проб,образец для контроля"</formula1>
    </dataValidation>
    <dataValidation type="list" allowBlank="1" showInputMessage="1" showErrorMessage="1" sqref="E13:H13">
      <formula1>"в абсолютных единицах, в относительных единицах (%)"</formula1>
    </dataValidation>
  </dataValidations>
  <pageMargins left="0.78740157480314965" right="0.78740157480314965" top="0.59055118110236227" bottom="0.3937007874015748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view="pageBreakPreview" topLeftCell="A10" zoomScale="130" zoomScaleNormal="100" zoomScaleSheetLayoutView="130" workbookViewId="0">
      <selection activeCell="A133" sqref="A133"/>
    </sheetView>
  </sheetViews>
  <sheetFormatPr defaultRowHeight="15" x14ac:dyDescent="0.25"/>
  <cols>
    <col min="1" max="8" width="12.85546875" customWidth="1"/>
    <col min="9" max="9" width="18.42578125" customWidth="1"/>
    <col min="10" max="10" width="12.85546875" customWidth="1"/>
    <col min="11" max="11" width="54.85546875" customWidth="1"/>
    <col min="12" max="12" width="15.85546875" customWidth="1"/>
    <col min="13" max="22" width="12.85546875" customWidth="1"/>
  </cols>
  <sheetData>
    <row r="1" spans="1:14" ht="40.5" customHeight="1" x14ac:dyDescent="0.25">
      <c r="A1" s="99" t="s">
        <v>53</v>
      </c>
      <c r="B1" s="99"/>
      <c r="C1" s="99"/>
      <c r="D1" s="99"/>
      <c r="E1" s="99"/>
      <c r="F1" s="99"/>
      <c r="G1" s="99"/>
      <c r="H1" s="99"/>
      <c r="I1" s="43" t="s">
        <v>66</v>
      </c>
      <c r="J1" s="19"/>
      <c r="K1" s="19"/>
      <c r="L1" s="19"/>
      <c r="M1" s="19"/>
      <c r="N1" s="19"/>
    </row>
    <row r="2" spans="1:14" ht="18.75" customHeight="1" x14ac:dyDescent="0.25">
      <c r="A2" s="35"/>
      <c r="B2" s="36"/>
      <c r="C2" s="36"/>
      <c r="D2" s="36"/>
      <c r="E2" s="36"/>
      <c r="F2" s="36"/>
      <c r="G2" s="36"/>
      <c r="H2" s="36"/>
      <c r="I2" s="34" t="s">
        <v>67</v>
      </c>
      <c r="J2" s="34"/>
      <c r="K2" s="34"/>
      <c r="L2" s="34"/>
      <c r="M2" s="34"/>
      <c r="N2" s="34"/>
    </row>
    <row r="3" spans="1:14" ht="18.75" customHeight="1" x14ac:dyDescent="0.3">
      <c r="A3" s="35"/>
      <c r="B3" s="36"/>
      <c r="C3" s="36"/>
      <c r="D3" s="36"/>
      <c r="E3" s="95" t="s">
        <v>50</v>
      </c>
      <c r="F3" s="101"/>
      <c r="G3" s="101"/>
      <c r="H3" s="101"/>
      <c r="I3" s="42" t="s">
        <v>67</v>
      </c>
      <c r="J3" s="34"/>
      <c r="K3" s="34"/>
      <c r="L3" s="34"/>
      <c r="M3" s="34"/>
      <c r="N3" s="34"/>
    </row>
    <row r="4" spans="1:14" ht="22.5" customHeight="1" x14ac:dyDescent="0.3">
      <c r="A4" s="35"/>
      <c r="B4" s="36"/>
      <c r="C4" s="36"/>
      <c r="D4" s="36"/>
      <c r="E4" s="95" t="str">
        <f>'Исходные данные'!E19</f>
        <v>Заведущий лабораторией</v>
      </c>
      <c r="F4" s="101"/>
      <c r="G4" s="101"/>
      <c r="H4" s="101"/>
      <c r="I4" s="42" t="s">
        <v>67</v>
      </c>
      <c r="J4" s="34"/>
      <c r="K4" s="34"/>
      <c r="L4" s="34"/>
      <c r="M4" s="34"/>
      <c r="N4" s="34"/>
    </row>
    <row r="5" spans="1:14" ht="26.25" customHeight="1" x14ac:dyDescent="0.3">
      <c r="A5" s="35"/>
      <c r="B5" s="36"/>
      <c r="C5" s="36"/>
      <c r="D5" s="36"/>
      <c r="E5" s="95" t="str">
        <f>CONCATENATE(REPT("_",30-LEN('Исходные данные'!E20))," ",'Исходные данные'!E20)</f>
        <v>___________________ И.И. Петров</v>
      </c>
      <c r="F5" s="96"/>
      <c r="G5" s="96"/>
      <c r="H5" s="96"/>
      <c r="I5" s="42" t="s">
        <v>67</v>
      </c>
      <c r="J5" s="34"/>
      <c r="K5" s="34"/>
      <c r="L5" s="34"/>
      <c r="M5" s="34"/>
      <c r="N5" s="34"/>
    </row>
    <row r="6" spans="1:14" ht="18.75" customHeight="1" x14ac:dyDescent="0.3">
      <c r="A6" s="35"/>
      <c r="B6" s="36"/>
      <c r="C6" s="36"/>
      <c r="D6" s="36"/>
      <c r="E6" s="95" t="s">
        <v>51</v>
      </c>
      <c r="F6" s="101"/>
      <c r="G6" s="101"/>
      <c r="H6" s="101"/>
      <c r="I6" s="42" t="s">
        <v>67</v>
      </c>
      <c r="J6" s="34"/>
      <c r="K6" s="34"/>
      <c r="L6" s="34"/>
      <c r="M6" s="34"/>
      <c r="N6" s="34"/>
    </row>
    <row r="7" spans="1:14" ht="27" customHeight="1" x14ac:dyDescent="0.25">
      <c r="A7" s="19"/>
      <c r="B7" s="19"/>
      <c r="C7" s="19"/>
      <c r="D7" s="9"/>
      <c r="E7" s="8"/>
      <c r="F7" s="4"/>
      <c r="G7" s="3"/>
      <c r="H7" s="3"/>
      <c r="I7" s="42" t="s">
        <v>67</v>
      </c>
      <c r="J7" s="19"/>
      <c r="K7" s="19"/>
      <c r="L7" s="19"/>
      <c r="M7" s="19"/>
      <c r="N7" s="19"/>
    </row>
    <row r="8" spans="1:14" ht="51.75" customHeight="1" x14ac:dyDescent="0.25">
      <c r="A8" s="84" t="str">
        <f>CONCATENATE("Наименование лаборатории: ",'Исходные данные'!E3,".")</f>
        <v>Наименование лаборатории: Испытательная лаборатория ООО "Наименование".</v>
      </c>
      <c r="B8" s="84"/>
      <c r="C8" s="84"/>
      <c r="D8" s="84"/>
      <c r="E8" s="85"/>
      <c r="F8" s="85"/>
      <c r="G8" s="85"/>
      <c r="H8" s="85"/>
      <c r="I8" s="42" t="s">
        <v>67</v>
      </c>
      <c r="J8" s="19"/>
      <c r="K8" s="19"/>
      <c r="L8" s="19"/>
      <c r="M8" s="19"/>
      <c r="N8" s="19"/>
    </row>
    <row r="9" spans="1:14" ht="18.75" customHeight="1" x14ac:dyDescent="0.25">
      <c r="A9" s="84" t="str">
        <f>CONCATENATE("Объект: ",'Исходные данные'!E4,".")</f>
        <v>Объект: газ горючий природный.</v>
      </c>
      <c r="B9" s="84"/>
      <c r="C9" s="84"/>
      <c r="D9" s="84"/>
      <c r="E9" s="85"/>
      <c r="F9" s="85"/>
      <c r="G9" s="85"/>
      <c r="H9" s="85"/>
      <c r="I9" s="42" t="s">
        <v>67</v>
      </c>
      <c r="J9" s="19"/>
      <c r="K9" s="19"/>
      <c r="L9" s="19"/>
      <c r="M9" s="19"/>
      <c r="N9" s="19"/>
    </row>
    <row r="10" spans="1:14" ht="18.75" customHeight="1" x14ac:dyDescent="0.25">
      <c r="A10" s="84" t="str">
        <f>CONCATENATE("Определяемый показатель: ",'Исходные данные'!E5,".")</f>
        <v>Определяемый показатель: массовая концентрация сероводорода.</v>
      </c>
      <c r="B10" s="84"/>
      <c r="C10" s="84"/>
      <c r="D10" s="84"/>
      <c r="E10" s="85"/>
      <c r="F10" s="85"/>
      <c r="G10" s="85"/>
      <c r="H10" s="85"/>
      <c r="I10" s="42" t="s">
        <v>67</v>
      </c>
      <c r="J10" s="19"/>
      <c r="K10" s="19"/>
      <c r="L10" s="19"/>
      <c r="M10" s="19"/>
      <c r="N10" s="19"/>
    </row>
    <row r="11" spans="1:14" ht="18.75" customHeight="1" x14ac:dyDescent="0.25">
      <c r="A11" s="84" t="str">
        <f>CONCATENATE("Методика измерений (КХА): ",'Исходные данные'!E6,".")</f>
        <v>Методика измерений (КХА): фотоколориметрический по ГОСТ 22387.2-2014.</v>
      </c>
      <c r="B11" s="84"/>
      <c r="C11" s="84"/>
      <c r="D11" s="84"/>
      <c r="E11" s="85"/>
      <c r="F11" s="85"/>
      <c r="G11" s="85"/>
      <c r="H11" s="85"/>
      <c r="I11" s="42" t="s">
        <v>67</v>
      </c>
      <c r="J11" s="19"/>
      <c r="K11" s="19"/>
      <c r="L11" s="19"/>
      <c r="M11" s="19"/>
      <c r="N11" s="19"/>
    </row>
    <row r="12" spans="1:14" ht="18.75" customHeight="1" x14ac:dyDescent="0.25">
      <c r="A12" s="84" t="str">
        <f>CONCATENATE("Единица измерения: ",'Исходные данные'!E7,".")</f>
        <v>Единица измерения: г/м³.</v>
      </c>
      <c r="B12" s="84"/>
      <c r="C12" s="84"/>
      <c r="D12" s="84"/>
      <c r="E12" s="85"/>
      <c r="F12" s="85"/>
      <c r="G12" s="85"/>
      <c r="H12" s="85"/>
      <c r="I12" s="42" t="s">
        <v>67</v>
      </c>
      <c r="J12" s="19"/>
      <c r="K12" s="19"/>
      <c r="L12" s="19"/>
      <c r="M12" s="19"/>
      <c r="N12" s="19"/>
    </row>
    <row r="13" spans="1:14" ht="18.75" customHeight="1" x14ac:dyDescent="0.25">
      <c r="A13" s="84" t="str">
        <f>CONCATENATE("Диапазон (поддиапазон) методики: ","от ",'Исходные данные'!E8," до ",'Исходные данные'!G8," г/м³")</f>
        <v>Диапазон (поддиапазон) методики: от 0,001 до 0,005 г/м³</v>
      </c>
      <c r="B13" s="84"/>
      <c r="C13" s="84"/>
      <c r="D13" s="84"/>
      <c r="E13" s="85"/>
      <c r="F13" s="85"/>
      <c r="G13" s="85"/>
      <c r="H13" s="85"/>
      <c r="I13" s="42" t="s">
        <v>67</v>
      </c>
      <c r="J13" s="19"/>
      <c r="K13" s="19"/>
      <c r="L13" s="19"/>
      <c r="M13" s="19"/>
      <c r="N13" s="19"/>
    </row>
    <row r="14" spans="1:14" ht="18.75" customHeight="1" x14ac:dyDescent="0.25">
      <c r="A14" s="84" t="str">
        <f>CONCATENATE("СКО повторяемости методики: ",'Исходные данные'!E9, IF('Исходные данные'!E13="в абсолютных единицах",CONCATENATE(" ",'Исходные данные'!E7)," %."))</f>
        <v>СКО повторяемости методики: 3,6 %.</v>
      </c>
      <c r="B14" s="84"/>
      <c r="C14" s="84"/>
      <c r="D14" s="84"/>
      <c r="E14" s="85"/>
      <c r="F14" s="85"/>
      <c r="G14" s="85"/>
      <c r="H14" s="85"/>
      <c r="I14" s="42" t="s">
        <v>67</v>
      </c>
      <c r="J14" s="19"/>
      <c r="K14" s="19"/>
      <c r="L14" s="19"/>
      <c r="M14" s="19"/>
      <c r="N14" s="19"/>
    </row>
    <row r="15" spans="1:14" ht="18.75" customHeight="1" x14ac:dyDescent="0.25">
      <c r="A15" s="84" t="str">
        <f>CONCATENATE("СКО воспроизводимости методики: ",'Исходные данные'!E10, IF('Исходные данные'!E13="в абсолютных единицах",CONCATENATE(" ",'Исходные данные'!E7)," %."))</f>
        <v>СКО воспроизводимости методики: 5,4 %.</v>
      </c>
      <c r="B15" s="84"/>
      <c r="C15" s="84"/>
      <c r="D15" s="84"/>
      <c r="E15" s="85"/>
      <c r="F15" s="85"/>
      <c r="G15" s="85"/>
      <c r="H15" s="85"/>
      <c r="I15" s="42" t="s">
        <v>67</v>
      </c>
      <c r="J15" s="29"/>
      <c r="K15" s="19"/>
      <c r="L15" s="19"/>
      <c r="M15" s="19"/>
      <c r="N15" s="19"/>
    </row>
    <row r="16" spans="1:14" ht="18.75" customHeight="1" x14ac:dyDescent="0.25">
      <c r="A16" s="84" t="str">
        <f>CONCATENATE("Показатель погрешности методики: ",'Исходные данные'!E11, IF('Исходные данные'!E13="в абсолютных единицах",CONCATENATE(" ",'Исходные данные'!E7)," %."))</f>
        <v>Показатель погрешности методики: 5,4 %.</v>
      </c>
      <c r="B16" s="84"/>
      <c r="C16" s="84"/>
      <c r="D16" s="84"/>
      <c r="E16" s="85"/>
      <c r="F16" s="85"/>
      <c r="G16" s="85"/>
      <c r="H16" s="85"/>
      <c r="I16" s="42" t="s">
        <v>67</v>
      </c>
      <c r="J16" s="29"/>
      <c r="K16" s="19"/>
      <c r="L16" s="19"/>
      <c r="M16" s="19"/>
      <c r="N16" s="19"/>
    </row>
    <row r="17" spans="1:14" ht="18.75" customHeight="1" x14ac:dyDescent="0.25">
      <c r="A17" s="84" t="str">
        <f>CONCATENATE("Показатель точности методики: ",'Исходные данные'!E12, IF('Исходные данные'!E13="в абсолютных единицах",CONCATENATE(" ",'Исходные данные'!E7)," %."))</f>
        <v>Показатель точности методики: 12 %.</v>
      </c>
      <c r="B17" s="84"/>
      <c r="C17" s="84"/>
      <c r="D17" s="84"/>
      <c r="E17" s="85"/>
      <c r="F17" s="85"/>
      <c r="G17" s="85"/>
      <c r="H17" s="85"/>
      <c r="I17" s="42" t="s">
        <v>67</v>
      </c>
      <c r="J17" s="29"/>
      <c r="K17" s="19"/>
      <c r="L17" s="19"/>
      <c r="M17" s="19"/>
      <c r="N17" s="19"/>
    </row>
    <row r="18" spans="1:14" ht="18.75" customHeight="1" x14ac:dyDescent="0.25">
      <c r="A18" s="84" t="str">
        <f>CONCATENATE("Число парралельных определений установленное НД на методику n = ",'Исходные данные'!E14)</f>
        <v>Число парралельных определений установленное НД на методику n = 2</v>
      </c>
      <c r="B18" s="84"/>
      <c r="C18" s="84"/>
      <c r="D18" s="84"/>
      <c r="E18" s="85"/>
      <c r="F18" s="85"/>
      <c r="G18" s="85"/>
      <c r="H18" s="85"/>
      <c r="I18" s="42" t="s">
        <v>67</v>
      </c>
      <c r="J18" s="19"/>
      <c r="K18" s="19"/>
      <c r="L18" s="19"/>
      <c r="M18" s="19"/>
      <c r="N18" s="19"/>
    </row>
    <row r="19" spans="1:14" ht="18.75" customHeight="1" x14ac:dyDescent="0.25">
      <c r="A19" s="84" t="str">
        <f>CONCATENATE("Значение показателя в образце для контроля ",'Исходные данные'!E15," ",'Исходные данные'!E7,".")</f>
        <v>Значение показателя в образце для контроля 0,004 г/м³.</v>
      </c>
      <c r="B19" s="84"/>
      <c r="C19" s="84"/>
      <c r="D19" s="84"/>
      <c r="E19" s="100"/>
      <c r="F19" s="100"/>
      <c r="G19" s="100"/>
      <c r="H19" s="100"/>
      <c r="I19" s="42" t="s">
        <v>67</v>
      </c>
      <c r="J19" s="19"/>
      <c r="K19" s="19"/>
      <c r="L19" s="19"/>
      <c r="M19" s="19"/>
      <c r="N19" s="19"/>
    </row>
    <row r="20" spans="1:14" ht="18.75" customHeight="1" x14ac:dyDescent="0.25">
      <c r="A20" s="84" t="str">
        <f>CONCATENATE("Погрешность аттестованного значения ",'Исходные данные'!E16," ",'Исходные данные'!E7,".")</f>
        <v>Погрешность аттестованного значения 0,0005 г/м³.</v>
      </c>
      <c r="B20" s="84"/>
      <c r="C20" s="84"/>
      <c r="D20" s="84"/>
      <c r="E20" s="85"/>
      <c r="F20" s="85"/>
      <c r="G20" s="85"/>
      <c r="H20" s="85"/>
      <c r="I20" s="42" t="s">
        <v>67</v>
      </c>
      <c r="J20" s="19"/>
      <c r="K20" s="19"/>
      <c r="L20" s="19"/>
      <c r="M20" s="19"/>
      <c r="N20" s="19"/>
    </row>
    <row r="21" spans="1:14" ht="18.75" customHeight="1" x14ac:dyDescent="0.25">
      <c r="A21" s="84" t="str">
        <f>CONCATENATE("Для проверки повторяемости ",IF('Исходные данные'!E17="несколько рабочих проб","использовались ",IF('Исходные данные'!E17="одна рабочая проба","использовалась ","использовался ")),'Исходные данные'!E17,".")</f>
        <v>Для проверки повторяемости использовались несколько рабочих проб.</v>
      </c>
      <c r="B21" s="84"/>
      <c r="C21" s="84"/>
      <c r="D21" s="84"/>
      <c r="E21" s="85"/>
      <c r="F21" s="85"/>
      <c r="G21" s="85"/>
      <c r="H21" s="85"/>
      <c r="I21" s="42" t="s">
        <v>67</v>
      </c>
      <c r="J21" s="19"/>
      <c r="K21" s="19"/>
      <c r="L21" s="19"/>
      <c r="M21" s="19"/>
      <c r="N21" s="19"/>
    </row>
    <row r="22" spans="1:14" ht="18.75" customHeight="1" x14ac:dyDescent="0.25">
      <c r="A22" s="84" t="str">
        <f>CONCATENATE("Дата (период) проверки: ",'Исходные данные'!E18,".")</f>
        <v>Дата (период) проверки: 01.07.2015 — 07.07.2015.</v>
      </c>
      <c r="B22" s="84"/>
      <c r="C22" s="84"/>
      <c r="D22" s="84"/>
      <c r="E22" s="85"/>
      <c r="F22" s="85"/>
      <c r="G22" s="85"/>
      <c r="H22" s="85"/>
      <c r="I22" s="42" t="s">
        <v>67</v>
      </c>
      <c r="J22" s="22"/>
      <c r="K22" s="22"/>
      <c r="L22" s="22"/>
      <c r="M22" s="22"/>
      <c r="N22" s="22"/>
    </row>
    <row r="23" spans="1:14" ht="15.75" customHeight="1" x14ac:dyDescent="0.25">
      <c r="A23" s="26"/>
      <c r="B23" s="28"/>
      <c r="C23" s="28"/>
      <c r="D23" s="28"/>
      <c r="E23" s="26"/>
      <c r="F23" s="28"/>
      <c r="G23" s="28"/>
      <c r="H23" s="28"/>
      <c r="I23" s="42" t="s">
        <v>67</v>
      </c>
      <c r="J23" s="19"/>
      <c r="K23" s="19"/>
      <c r="L23" s="19"/>
      <c r="M23" s="19"/>
      <c r="N23" s="19"/>
    </row>
    <row r="24" spans="1:14" ht="41.25" customHeight="1" x14ac:dyDescent="0.25">
      <c r="A24" s="91" t="str">
        <f>CONCATENATE("Проверка соответствия повторяемости результатов анализа требованиям методики
с использованием одной однородной рабочей пробы",IF(E17="образец для контроля","*",""))</f>
        <v>Проверка соответствия повторяемости результатов анализа требованиям методики
с использованием одной однородной рабочей пробы</v>
      </c>
      <c r="B24" s="80"/>
      <c r="C24" s="80"/>
      <c r="D24" s="80"/>
      <c r="E24" s="80"/>
      <c r="F24" s="80"/>
      <c r="G24" s="80"/>
      <c r="H24" s="80"/>
      <c r="I24" s="19" t="str">
        <f>IF('Исходные данные'!$E$17="несколько рабочих проб","Скрыть","Показать")</f>
        <v>Скрыть</v>
      </c>
      <c r="J24" s="19"/>
      <c r="K24" s="19"/>
      <c r="L24" s="19"/>
      <c r="M24" s="19"/>
      <c r="N24" s="19"/>
    </row>
    <row r="25" spans="1:14" ht="22.5" customHeight="1" x14ac:dyDescent="0.25">
      <c r="A25" s="83" t="s">
        <v>10</v>
      </c>
      <c r="B25" s="51"/>
      <c r="C25" s="51"/>
      <c r="D25" s="51"/>
      <c r="E25" s="51"/>
      <c r="F25" s="51"/>
      <c r="G25" s="51"/>
      <c r="H25" s="51"/>
      <c r="I25" s="42" t="str">
        <f>IF('Исходные данные'!$E$17="несколько рабочих проб","Скрыть","Показать")</f>
        <v>Скрыть</v>
      </c>
      <c r="J25" s="19"/>
      <c r="K25" s="19"/>
      <c r="L25" s="19"/>
      <c r="M25" s="19"/>
      <c r="N25" s="19"/>
    </row>
    <row r="26" spans="1:14" ht="15.75" customHeight="1" x14ac:dyDescent="0.25">
      <c r="A26" s="26"/>
      <c r="B26" s="28"/>
      <c r="C26" s="28"/>
      <c r="D26" s="28"/>
      <c r="E26" s="25"/>
      <c r="F26" s="27"/>
      <c r="G26" s="25"/>
      <c r="H26" s="25"/>
      <c r="I26" s="42" t="str">
        <f>IF('Исходные данные'!$E$17="несколько рабочих проб","Скрыть","Показать")</f>
        <v>Скрыть</v>
      </c>
      <c r="J26" s="19"/>
      <c r="K26" s="19"/>
      <c r="L26" s="19"/>
      <c r="M26" s="19"/>
      <c r="N26" s="19"/>
    </row>
    <row r="27" spans="1:14" ht="15.75" customHeight="1" x14ac:dyDescent="0.25">
      <c r="A27" s="25"/>
      <c r="B27" s="21" t="s">
        <v>0</v>
      </c>
      <c r="C27" s="21" t="s">
        <v>1</v>
      </c>
      <c r="D27" s="21" t="s">
        <v>0</v>
      </c>
      <c r="E27" s="21" t="s">
        <v>1</v>
      </c>
      <c r="F27" s="21" t="s">
        <v>0</v>
      </c>
      <c r="G27" s="21" t="s">
        <v>1</v>
      </c>
      <c r="H27" s="25"/>
      <c r="I27" s="42" t="str">
        <f>IF('Исходные данные'!$E$17="несколько рабочих проб","Скрыть","Показать")</f>
        <v>Скрыть</v>
      </c>
      <c r="J27" s="19"/>
      <c r="K27" s="19"/>
      <c r="L27" s="19"/>
      <c r="M27" s="19"/>
      <c r="N27" s="19"/>
    </row>
    <row r="28" spans="1:14" ht="15.75" customHeight="1" x14ac:dyDescent="0.25">
      <c r="A28" s="25"/>
      <c r="B28" s="21">
        <v>1</v>
      </c>
      <c r="C28" s="21">
        <f>IF(ISBLANK('Исходные данные'!C27),"",'Исходные данные'!C27)</f>
        <v>3.8700000000000002E-3</v>
      </c>
      <c r="D28" s="21">
        <v>11</v>
      </c>
      <c r="E28" s="21">
        <f>IF(ISBLANK('Исходные данные'!E27),"",'Исходные данные'!E27)</f>
        <v>4.0200000000000001E-3</v>
      </c>
      <c r="F28" s="21">
        <v>21</v>
      </c>
      <c r="G28" s="21" t="str">
        <f>IF(ISBLANK('Исходные данные'!G27),"",'Исходные данные'!G27)</f>
        <v/>
      </c>
      <c r="H28" s="25"/>
      <c r="I28" s="42" t="str">
        <f>IF('Исходные данные'!$E$17="несколько рабочих проб","Скрыть","Показать")</f>
        <v>Скрыть</v>
      </c>
      <c r="J28" s="19"/>
      <c r="K28" s="19"/>
      <c r="L28" s="19"/>
      <c r="M28" s="19"/>
      <c r="N28" s="19"/>
    </row>
    <row r="29" spans="1:14" ht="15.75" customHeight="1" x14ac:dyDescent="0.25">
      <c r="A29" s="25"/>
      <c r="B29" s="21">
        <v>2</v>
      </c>
      <c r="C29" s="21">
        <f>IF(ISBLANK('Исходные данные'!C28),"",'Исходные данные'!C28)</f>
        <v>3.6900000000000001E-3</v>
      </c>
      <c r="D29" s="21">
        <v>12</v>
      </c>
      <c r="E29" s="21">
        <f>IF(ISBLANK('Исходные данные'!E28),"",'Исходные данные'!E28)</f>
        <v>3.8400000000000001E-3</v>
      </c>
      <c r="F29" s="21">
        <v>22</v>
      </c>
      <c r="G29" s="21" t="str">
        <f>IF(ISBLANK('Исходные данные'!G28),"",'Исходные данные'!G28)</f>
        <v/>
      </c>
      <c r="H29" s="25"/>
      <c r="I29" s="42" t="str">
        <f>IF('Исходные данные'!$E$17="несколько рабочих проб","Скрыть","Показать")</f>
        <v>Скрыть</v>
      </c>
      <c r="J29" s="19"/>
      <c r="K29" s="19"/>
      <c r="L29" s="19"/>
      <c r="M29" s="19"/>
      <c r="N29" s="19"/>
    </row>
    <row r="30" spans="1:14" ht="15.75" customHeight="1" x14ac:dyDescent="0.25">
      <c r="A30" s="25"/>
      <c r="B30" s="21">
        <v>3</v>
      </c>
      <c r="C30" s="21">
        <f>IF(ISBLANK('Исходные данные'!C29),"",'Исходные данные'!C29)</f>
        <v>3.65E-3</v>
      </c>
      <c r="D30" s="21">
        <v>13</v>
      </c>
      <c r="E30" s="21">
        <f>IF(ISBLANK('Исходные данные'!E29),"",'Исходные данные'!E29)</f>
        <v>4.1099999999999999E-3</v>
      </c>
      <c r="F30" s="21">
        <v>23</v>
      </c>
      <c r="G30" s="21" t="str">
        <f>IF(ISBLANK('Исходные данные'!G29),"",'Исходные данные'!G29)</f>
        <v/>
      </c>
      <c r="H30" s="25"/>
      <c r="I30" s="42" t="str">
        <f>IF('Исходные данные'!$E$17="несколько рабочих проб","Скрыть","Показать")</f>
        <v>Скрыть</v>
      </c>
      <c r="J30" s="19"/>
      <c r="K30" s="19"/>
      <c r="L30" s="19"/>
      <c r="M30" s="19"/>
      <c r="N30" s="19"/>
    </row>
    <row r="31" spans="1:14" ht="15.75" customHeight="1" x14ac:dyDescent="0.25">
      <c r="A31" s="25"/>
      <c r="B31" s="21">
        <v>4</v>
      </c>
      <c r="C31" s="21">
        <f>IF(ISBLANK('Исходные данные'!C30),"",'Исходные данные'!C30)</f>
        <v>4.0400000000000002E-3</v>
      </c>
      <c r="D31" s="21">
        <v>14</v>
      </c>
      <c r="E31" s="21">
        <f>IF(ISBLANK('Исходные данные'!E30),"",'Исходные данные'!E30)</f>
        <v>3.81E-3</v>
      </c>
      <c r="F31" s="21">
        <v>24</v>
      </c>
      <c r="G31" s="21" t="str">
        <f>IF(ISBLANK('Исходные данные'!G30),"",'Исходные данные'!G30)</f>
        <v/>
      </c>
      <c r="H31" s="25"/>
      <c r="I31" s="42" t="str">
        <f>IF('Исходные данные'!$E$17="несколько рабочих проб","Скрыть","Показать")</f>
        <v>Скрыть</v>
      </c>
      <c r="J31" s="19"/>
      <c r="K31" s="19"/>
      <c r="L31" s="19"/>
      <c r="M31" s="19"/>
      <c r="N31" s="19"/>
    </row>
    <row r="32" spans="1:14" ht="15.75" customHeight="1" x14ac:dyDescent="0.25">
      <c r="A32" s="25"/>
      <c r="B32" s="21">
        <v>5</v>
      </c>
      <c r="C32" s="21">
        <f>IF(ISBLANK('Исходные данные'!C31),"",'Исходные данные'!C31)</f>
        <v>4.1000000000000003E-3</v>
      </c>
      <c r="D32" s="21">
        <v>15</v>
      </c>
      <c r="E32" s="21">
        <f>IF(ISBLANK('Исходные данные'!E31),"",'Исходные данные'!E31)</f>
        <v>4.0899999999999999E-3</v>
      </c>
      <c r="F32" s="21">
        <v>25</v>
      </c>
      <c r="G32" s="21" t="str">
        <f>IF(ISBLANK('Исходные данные'!G31),"",'Исходные данные'!G31)</f>
        <v/>
      </c>
      <c r="H32" s="25"/>
      <c r="I32" s="42" t="str">
        <f>IF('Исходные данные'!$E$17="несколько рабочих проб","Скрыть","Показать")</f>
        <v>Скрыть</v>
      </c>
      <c r="J32" s="19"/>
      <c r="K32" s="19"/>
      <c r="L32" s="19"/>
      <c r="M32" s="19"/>
      <c r="N32" s="19"/>
    </row>
    <row r="33" spans="1:14" ht="15.75" customHeight="1" x14ac:dyDescent="0.25">
      <c r="A33" s="25"/>
      <c r="B33" s="21">
        <v>6</v>
      </c>
      <c r="C33" s="21">
        <f>IF(ISBLANK('Исходные данные'!C32),"",'Исходные данные'!C32)</f>
        <v>3.7399999999999998E-3</v>
      </c>
      <c r="D33" s="21">
        <v>16</v>
      </c>
      <c r="E33" s="21">
        <f>IF(ISBLANK('Исходные данные'!E32),"",'Исходные данные'!E32)</f>
        <v>3.8600000000000001E-3</v>
      </c>
      <c r="F33" s="21">
        <v>26</v>
      </c>
      <c r="G33" s="21" t="str">
        <f>IF(ISBLANK('Исходные данные'!G32),"",'Исходные данные'!G32)</f>
        <v/>
      </c>
      <c r="H33" s="25"/>
      <c r="I33" s="42" t="str">
        <f>IF('Исходные данные'!$E$17="несколько рабочих проб","Скрыть","Показать")</f>
        <v>Скрыть</v>
      </c>
      <c r="J33" s="19"/>
      <c r="K33" s="19"/>
      <c r="L33" s="19"/>
      <c r="M33" s="19"/>
      <c r="N33" s="19"/>
    </row>
    <row r="34" spans="1:14" ht="15.75" customHeight="1" x14ac:dyDescent="0.25">
      <c r="A34" s="25"/>
      <c r="B34" s="21">
        <v>7</v>
      </c>
      <c r="C34" s="21">
        <f>IF(ISBLANK('Исходные данные'!C33),"",'Исходные данные'!C33)</f>
        <v>3.7499999999999999E-3</v>
      </c>
      <c r="D34" s="21">
        <v>17</v>
      </c>
      <c r="E34" s="21" t="str">
        <f>IF(ISBLANK('Исходные данные'!E33),"",'Исходные данные'!E33)</f>
        <v/>
      </c>
      <c r="F34" s="21">
        <v>27</v>
      </c>
      <c r="G34" s="21" t="str">
        <f>IF(ISBLANK('Исходные данные'!G33),"",'Исходные данные'!G33)</f>
        <v/>
      </c>
      <c r="H34" s="25"/>
      <c r="I34" s="42" t="str">
        <f>IF('Исходные данные'!$E$17="несколько рабочих проб","Скрыть","Показать")</f>
        <v>Скрыть</v>
      </c>
      <c r="J34" s="19"/>
      <c r="K34" s="19"/>
      <c r="L34" s="19"/>
      <c r="M34" s="19"/>
      <c r="N34" s="19"/>
    </row>
    <row r="35" spans="1:14" ht="15.75" customHeight="1" x14ac:dyDescent="0.25">
      <c r="A35" s="25"/>
      <c r="B35" s="21">
        <v>8</v>
      </c>
      <c r="C35" s="21">
        <f>IF(ISBLANK('Исходные данные'!C34),"",'Исходные данные'!C34)</f>
        <v>4.0699999999999998E-3</v>
      </c>
      <c r="D35" s="21">
        <v>18</v>
      </c>
      <c r="E35" s="21" t="str">
        <f>IF(ISBLANK('Исходные данные'!E34),"",'Исходные данные'!E34)</f>
        <v/>
      </c>
      <c r="F35" s="21">
        <v>28</v>
      </c>
      <c r="G35" s="21" t="str">
        <f>IF(ISBLANK('Исходные данные'!G34),"",'Исходные данные'!G34)</f>
        <v/>
      </c>
      <c r="H35" s="25"/>
      <c r="I35" s="42" t="str">
        <f>IF('Исходные данные'!$E$17="несколько рабочих проб","Скрыть","Показать")</f>
        <v>Скрыть</v>
      </c>
      <c r="J35" s="19"/>
      <c r="K35" s="19"/>
      <c r="L35" s="19"/>
      <c r="M35" s="19"/>
      <c r="N35" s="19"/>
    </row>
    <row r="36" spans="1:14" ht="15.75" customHeight="1" x14ac:dyDescent="0.25">
      <c r="A36" s="25"/>
      <c r="B36" s="21">
        <v>9</v>
      </c>
      <c r="C36" s="21">
        <f>IF(ISBLANK('Исходные данные'!C35),"",'Исходные данные'!C35)</f>
        <v>3.81E-3</v>
      </c>
      <c r="D36" s="21">
        <v>19</v>
      </c>
      <c r="E36" s="21" t="str">
        <f>IF(ISBLANK('Исходные данные'!E35),"",'Исходные данные'!E35)</f>
        <v/>
      </c>
      <c r="F36" s="21">
        <v>29</v>
      </c>
      <c r="G36" s="21" t="str">
        <f>IF(ISBLANK('Исходные данные'!G35),"",'Исходные данные'!G35)</f>
        <v/>
      </c>
      <c r="H36" s="25"/>
      <c r="I36" s="42" t="str">
        <f>IF('Исходные данные'!$E$17="несколько рабочих проб","Скрыть","Показать")</f>
        <v>Скрыть</v>
      </c>
      <c r="J36" s="19"/>
      <c r="K36" s="19"/>
      <c r="L36" s="19"/>
      <c r="M36" s="19"/>
      <c r="N36" s="19"/>
    </row>
    <row r="37" spans="1:14" ht="15.75" customHeight="1" x14ac:dyDescent="0.25">
      <c r="A37" s="25"/>
      <c r="B37" s="21">
        <v>10</v>
      </c>
      <c r="C37" s="21">
        <f>IF(ISBLANK('Исходные данные'!C36),"",'Исходные данные'!C36)</f>
        <v>4.1799999999999997E-3</v>
      </c>
      <c r="D37" s="21">
        <v>20</v>
      </c>
      <c r="E37" s="21" t="str">
        <f>IF(ISBLANK('Исходные данные'!E36),"",'Исходные данные'!E36)</f>
        <v/>
      </c>
      <c r="F37" s="21">
        <v>30</v>
      </c>
      <c r="G37" s="21" t="str">
        <f>IF(ISBLANK('Исходные данные'!G36),"",'Исходные данные'!G36)</f>
        <v/>
      </c>
      <c r="H37" s="25"/>
      <c r="I37" s="42" t="str">
        <f>IF('Исходные данные'!$E$17="несколько рабочих проб","Скрыть","Показать")</f>
        <v>Скрыть</v>
      </c>
      <c r="J37" s="19"/>
      <c r="K37" s="19"/>
      <c r="L37" s="19"/>
      <c r="M37" s="19"/>
      <c r="N37" s="19"/>
    </row>
    <row r="38" spans="1:14" ht="21.75" customHeight="1" x14ac:dyDescent="0.25">
      <c r="A38" s="26"/>
      <c r="B38" s="97" t="str">
        <f>IF('Исходные данные'!E17="образец для контроля","Примечание: *В качестве рабочей пробы использовался образец для контроля.","")</f>
        <v/>
      </c>
      <c r="C38" s="98"/>
      <c r="D38" s="98"/>
      <c r="E38" s="98"/>
      <c r="F38" s="98"/>
      <c r="G38" s="98"/>
      <c r="H38" s="25"/>
      <c r="I38" s="42" t="str">
        <f>IF('Исходные данные'!$E$17="несколько рабочих проб","Скрыть","Показать")</f>
        <v>Скрыть</v>
      </c>
      <c r="J38" s="19"/>
      <c r="K38" s="19"/>
      <c r="L38" s="19"/>
      <c r="M38" s="19"/>
      <c r="N38" s="19"/>
    </row>
    <row r="39" spans="1:14" ht="36" customHeight="1" x14ac:dyDescent="0.25">
      <c r="A39" s="26"/>
      <c r="B39" s="86" t="str">
        <f>CONCATENATE(IF(AND(MIN(C28:C37,E28:E37,G28:G37)&gt;='Исходные данные'!E8,MAX(C28:C37,E28:E37,G28:G37)&lt;='Исходные данные'!G8),"","ВНИМАНИЕ!!! "),"Содержание определяемого компонента в рабочей пробе ",IF(AND(MIN(C28:C37,E28:E37,G28:G37)&gt;='Исходные данные'!E8,MAX(C28:C37,E28:E37,G28:G37)&lt;='Исходные данные'!G8),"находится","не находится")," в проверяемом диапазоне (поддиапазоне) методики измерений.")</f>
        <v>Содержание определяемого компонента в рабочей пробе находится в проверяемом диапазоне (поддиапазоне) методики измерений.</v>
      </c>
      <c r="C39" s="87"/>
      <c r="D39" s="87"/>
      <c r="E39" s="87"/>
      <c r="F39" s="87"/>
      <c r="G39" s="87"/>
      <c r="H39" s="25"/>
      <c r="I39" s="42" t="str">
        <f>IF('Исходные данные'!$E$17="несколько рабочих проб","Скрыть","Показать")</f>
        <v>Скрыть</v>
      </c>
      <c r="J39" s="19"/>
      <c r="K39" s="19"/>
      <c r="L39" s="19"/>
      <c r="M39" s="19"/>
      <c r="N39" s="19"/>
    </row>
    <row r="40" spans="1:14" ht="15.75" customHeight="1" x14ac:dyDescent="0.25">
      <c r="A40" s="24"/>
      <c r="B40" s="88" t="s">
        <v>40</v>
      </c>
      <c r="C40" s="89"/>
      <c r="D40" s="89"/>
      <c r="E40" s="89"/>
      <c r="F40" s="89"/>
      <c r="G40" s="90"/>
      <c r="H40" s="24"/>
      <c r="I40" s="42" t="str">
        <f>IF('Исходные данные'!$E$17="несколько рабочих проб","Скрыть","Показать")</f>
        <v>Скрыть</v>
      </c>
      <c r="J40" s="19"/>
      <c r="K40" s="19"/>
      <c r="L40" s="19"/>
      <c r="M40" s="19"/>
      <c r="N40" s="19"/>
    </row>
    <row r="41" spans="1:14" ht="15.75" x14ac:dyDescent="0.25">
      <c r="A41" s="19"/>
      <c r="B41" s="88" t="str">
        <f>CONCATENATE("Фактическое количество параллельных определений N = ",COUNT(C28:C37,E28:E37,G28:G37),".")</f>
        <v>Фактическое количество параллельных определений N = 16.</v>
      </c>
      <c r="C41" s="89"/>
      <c r="D41" s="89"/>
      <c r="E41" s="89"/>
      <c r="F41" s="89"/>
      <c r="G41" s="90"/>
      <c r="H41" s="19"/>
      <c r="I41" s="42" t="str">
        <f>IF('Исходные данные'!$E$17="несколько рабочих проб","Скрыть","Показать")</f>
        <v>Скрыть</v>
      </c>
      <c r="J41" s="19"/>
      <c r="K41" s="19"/>
      <c r="L41" s="19"/>
      <c r="M41" s="19"/>
      <c r="N41" s="19"/>
    </row>
    <row r="42" spans="1:14" ht="15.75" x14ac:dyDescent="0.25">
      <c r="A42" s="19"/>
      <c r="B42" s="19"/>
      <c r="C42" s="19"/>
      <c r="D42" s="19"/>
      <c r="E42" s="19"/>
      <c r="F42" s="19"/>
      <c r="G42" s="19"/>
      <c r="H42" s="19"/>
      <c r="I42" s="42" t="str">
        <f>IF('Исходные данные'!$E$17="несколько рабочих проб","Скрыть","Показать")</f>
        <v>Скрыть</v>
      </c>
      <c r="J42" s="19"/>
      <c r="K42" s="19"/>
      <c r="L42" s="19"/>
      <c r="M42" s="19"/>
      <c r="N42" s="19"/>
    </row>
    <row r="43" spans="1:14" ht="18.75" x14ac:dyDescent="0.25">
      <c r="A43" s="19"/>
      <c r="B43" s="93" t="s">
        <v>9</v>
      </c>
      <c r="C43" s="94"/>
      <c r="D43" s="93" t="s">
        <v>12</v>
      </c>
      <c r="E43" s="94"/>
      <c r="F43" s="93" t="s">
        <v>15</v>
      </c>
      <c r="G43" s="94"/>
      <c r="H43" s="19"/>
      <c r="I43" s="42" t="str">
        <f>IF('Исходные данные'!$E$17="несколько рабочих проб","Скрыть","Показать")</f>
        <v>Скрыть</v>
      </c>
      <c r="J43" s="19"/>
      <c r="K43" s="19"/>
      <c r="L43" s="19"/>
      <c r="M43" s="19"/>
      <c r="N43" s="19"/>
    </row>
    <row r="44" spans="1:14" ht="15.75" x14ac:dyDescent="0.25">
      <c r="A44" s="19"/>
      <c r="B44" s="93">
        <f>IF(OR(SUM(C28:C37,E28:E37,G28:G37)=0,COUNT(C28:C37,E28:E37,G28:G37)&lt;2),"",_xlfn.STDEV.S(C28:C37,E28:E37,G28:G37)/(IF('Исходные данные'!E13="в относительных единицах (%)",IF('Исходные данные'!E17="образец для контроля",0.01*'Исходные данные'!E15,0.01*AVERAGE(C28:C37,E28:E37,G28:G37)),1)))</f>
        <v>4.3514426716002106</v>
      </c>
      <c r="C44" s="94"/>
      <c r="D44" s="93">
        <f>IF(OR(SUM(C28:C37,E28:E37,G28:G37)=0,COUNT(C28:C37,E28:E37,G28:G37)&lt;5),"",VLOOKUP(COUNT(C28:C37,E28:E37,G28:G37)-1,A115:B132,2,TRUE)*'Исходные данные'!E9)</f>
        <v>4.6440000000000001</v>
      </c>
      <c r="E44" s="94"/>
      <c r="F44" s="93" t="str">
        <f>IF(OR(SUM(C28:C37,E28:E37,G28:G37)=0,COUNT(C28:C37,E28:E37,G28:G37)&lt;5),"",IF(B44&lt;=D44,"выполняется","не выполняется"))</f>
        <v>выполняется</v>
      </c>
      <c r="G44" s="94"/>
      <c r="H44" s="19"/>
      <c r="I44" s="42" t="str">
        <f>IF('Исходные данные'!$E$17="несколько рабочих проб","Скрыть","Показать")</f>
        <v>Скрыть</v>
      </c>
      <c r="J44" s="19"/>
      <c r="K44" s="19"/>
      <c r="L44" s="19"/>
      <c r="M44" s="19"/>
      <c r="N44" s="19"/>
    </row>
    <row r="45" spans="1:14" ht="15.75" x14ac:dyDescent="0.25">
      <c r="A45" s="19"/>
      <c r="B45" s="19"/>
      <c r="C45" s="19"/>
      <c r="D45" s="19"/>
      <c r="E45" s="19"/>
      <c r="F45" s="19"/>
      <c r="G45" s="19"/>
      <c r="H45" s="19"/>
      <c r="I45" s="42" t="str">
        <f>IF('Исходные данные'!$E$17="несколько рабочих проб","Скрыть","Показать")</f>
        <v>Скрыть</v>
      </c>
      <c r="J45" s="19"/>
      <c r="K45" s="19"/>
      <c r="L45" s="19"/>
      <c r="M45" s="19"/>
      <c r="N45" s="19"/>
    </row>
    <row r="46" spans="1:14" ht="30.75" customHeight="1" x14ac:dyDescent="0.25">
      <c r="A46" s="86" t="str">
        <f>IF(COUNT(C28:C37,E28:E37,G28:G37)&lt;16,"Вывод: недостаточное количество определений для вывода о соответствии показателя повторяемости требованиям методики количественного химического анализа.",IF(F44="выполняется","Вывод: показатель повторяемости результатов анализа соответствует требованиям методики количественного химического анализа.",IF(F44="не выполняется","Вывод: показатель повторяемости результатов анализа не соответствует требованиям методики количественного химического анализа.","Вывод: недостаточное количество определений для вывода о соответствии показателя повторяемости требованиям методики количественного химического анализа.")))</f>
        <v>Вывод: показатель повторяемости результатов анализа соответствует требованиям методики количественного химического анализа.</v>
      </c>
      <c r="B46" s="85"/>
      <c r="C46" s="85"/>
      <c r="D46" s="85"/>
      <c r="E46" s="85"/>
      <c r="F46" s="85"/>
      <c r="G46" s="85"/>
      <c r="H46" s="85"/>
      <c r="I46" s="42" t="str">
        <f>IF('Исходные данные'!$E$17="несколько рабочих проб","Скрыть","Показать")</f>
        <v>Скрыть</v>
      </c>
      <c r="J46" s="19"/>
      <c r="K46" s="19"/>
      <c r="L46" s="19"/>
      <c r="M46" s="19"/>
      <c r="N46" s="19"/>
    </row>
    <row r="47" spans="1:14" ht="15.75" x14ac:dyDescent="0.25">
      <c r="A47" s="19"/>
      <c r="B47" s="19"/>
      <c r="C47" s="19"/>
      <c r="D47" s="19"/>
      <c r="E47" s="19"/>
      <c r="F47" s="19"/>
      <c r="G47" s="19"/>
      <c r="H47" s="19"/>
      <c r="I47" s="42" t="str">
        <f>IF('Исходные данные'!$E$17="несколько рабочих проб","Скрыть","Показать")</f>
        <v>Скрыть</v>
      </c>
      <c r="J47" s="19"/>
      <c r="K47" s="19"/>
      <c r="L47" s="19"/>
      <c r="M47" s="19"/>
      <c r="N47" s="19"/>
    </row>
    <row r="48" spans="1:14" ht="41.25" customHeight="1" x14ac:dyDescent="0.25">
      <c r="A48" s="91" t="s">
        <v>62</v>
      </c>
      <c r="B48" s="80"/>
      <c r="C48" s="80"/>
      <c r="D48" s="80"/>
      <c r="E48" s="80"/>
      <c r="F48" s="80"/>
      <c r="G48" s="80"/>
      <c r="H48" s="80"/>
      <c r="I48" s="42" t="str">
        <f>IF('Исходные данные'!$E$17="несколько рабочих проб","Показать","Скрыть")</f>
        <v>Показать</v>
      </c>
      <c r="J48" s="19"/>
      <c r="K48" s="19"/>
      <c r="L48" s="19"/>
      <c r="M48" s="19"/>
      <c r="N48" s="19"/>
    </row>
    <row r="49" spans="1:14" ht="22.5" customHeight="1" x14ac:dyDescent="0.25">
      <c r="A49" s="78" t="s">
        <v>49</v>
      </c>
      <c r="B49" s="79"/>
      <c r="C49" s="79"/>
      <c r="D49" s="79"/>
      <c r="E49" s="79"/>
      <c r="F49" s="79"/>
      <c r="G49" s="79"/>
      <c r="H49" s="79"/>
      <c r="I49" s="42" t="str">
        <f>IF('Исходные данные'!$E$17="несколько рабочих проб","Показать","Скрыть")</f>
        <v>Показать</v>
      </c>
      <c r="J49" s="41"/>
      <c r="K49" s="41"/>
      <c r="L49" s="41"/>
      <c r="M49" s="41"/>
      <c r="N49" s="41"/>
    </row>
    <row r="50" spans="1:14" ht="15.75" x14ac:dyDescent="0.25">
      <c r="A50" s="19"/>
      <c r="B50" s="19"/>
      <c r="C50" s="19"/>
      <c r="D50" s="19"/>
      <c r="E50" s="19"/>
      <c r="F50" s="19"/>
      <c r="G50" s="19"/>
      <c r="H50" s="19"/>
      <c r="I50" s="42" t="str">
        <f>IF('Исходные данные'!$E$17="несколько рабочих проб","Показать","Скрыть")</f>
        <v>Показать</v>
      </c>
      <c r="J50" s="19"/>
      <c r="K50" s="19"/>
      <c r="L50" s="19"/>
      <c r="M50" s="19"/>
      <c r="N50" s="19"/>
    </row>
    <row r="51" spans="1:14" ht="18.75" x14ac:dyDescent="0.25">
      <c r="A51" s="21" t="s">
        <v>16</v>
      </c>
      <c r="B51" s="21" t="s">
        <v>17</v>
      </c>
      <c r="C51" s="21" t="s">
        <v>18</v>
      </c>
      <c r="D51" s="21" t="s">
        <v>19</v>
      </c>
      <c r="E51" s="21" t="s">
        <v>20</v>
      </c>
      <c r="F51" s="21" t="s">
        <v>21</v>
      </c>
      <c r="G51" s="21" t="s">
        <v>22</v>
      </c>
      <c r="H51" s="18" t="s">
        <v>27</v>
      </c>
      <c r="I51" s="42" t="str">
        <f>IF('Исходные данные'!$E$17="несколько рабочих проб","Показать","Скрыть")</f>
        <v>Показать</v>
      </c>
      <c r="J51" s="19"/>
      <c r="K51" s="19"/>
      <c r="L51" s="19"/>
      <c r="M51" s="19"/>
      <c r="N51" s="19"/>
    </row>
    <row r="52" spans="1:14" ht="15.75" x14ac:dyDescent="0.25">
      <c r="A52" s="21">
        <v>1</v>
      </c>
      <c r="B52" s="21">
        <f>IF(ISBLANK('Исходные данные'!C42),"",'Исходные данные'!C42)</f>
        <v>4.1599999999999996E-3</v>
      </c>
      <c r="C52" s="21">
        <f>IF(ISBLANK('Исходные данные'!D42),"",'Исходные данные'!D42)</f>
        <v>4.0299999999999997E-3</v>
      </c>
      <c r="D52" s="21" t="str">
        <f>IF(ISBLANK('Исходные данные'!E42),"",'Исходные данные'!E42)</f>
        <v/>
      </c>
      <c r="E52" s="21" t="str">
        <f>IF(ISBLANK('Исходные данные'!F42),"",'Исходные данные'!F42)</f>
        <v/>
      </c>
      <c r="F52" s="21" t="str">
        <f>IF(ISBLANK('Исходные данные'!G42),"",'Исходные данные'!G42)</f>
        <v/>
      </c>
      <c r="G52" s="15">
        <f>IF(OR(B52="",C52=""),"",AVERAGE(B52:F52))</f>
        <v>4.0949999999999997E-3</v>
      </c>
      <c r="H52" s="15">
        <f>IF(G52="","",IF('Исходные данные'!$E$13="в абсолютных единицах",_xlfn.VAR.S(B52:F52),IF('Исходные данные'!$E$17="образец для контроля",(100*_xlfn.STDEV.S(B52:F52)/'Исходные данные'!$E$15)^2,(100*_xlfn.STDEV.S(B52:F52)/G52)^2)))</f>
        <v>5.039052658100271</v>
      </c>
      <c r="I52" s="42" t="str">
        <f>IF('Исходные данные'!$E$17="несколько рабочих проб","Показать","Скрыть")</f>
        <v>Показать</v>
      </c>
      <c r="J52" s="19"/>
      <c r="K52" s="19"/>
      <c r="L52" s="19"/>
      <c r="M52" s="19"/>
      <c r="N52" s="19"/>
    </row>
    <row r="53" spans="1:14" ht="15.75" x14ac:dyDescent="0.25">
      <c r="A53" s="21">
        <v>2</v>
      </c>
      <c r="B53" s="21">
        <f>IF(ISBLANK('Исходные данные'!C43),"",'Исходные данные'!C43)</f>
        <v>1.8699999999999999E-3</v>
      </c>
      <c r="C53" s="21">
        <f>IF(ISBLANK('Исходные данные'!D43),"",'Исходные данные'!D43)</f>
        <v>1.9599999999999999E-3</v>
      </c>
      <c r="D53" s="21" t="str">
        <f>IF(ISBLANK('Исходные данные'!E43),"",'Исходные данные'!E43)</f>
        <v/>
      </c>
      <c r="E53" s="21" t="str">
        <f>IF(ISBLANK('Исходные данные'!F43),"",'Исходные данные'!F43)</f>
        <v/>
      </c>
      <c r="F53" s="21" t="str">
        <f>IF(ISBLANK('Исходные данные'!G43),"",'Исходные данные'!G43)</f>
        <v/>
      </c>
      <c r="G53" s="15">
        <f t="shared" ref="G53:G71" si="0">IF(OR(B53="",C53=""),"",AVERAGE(B53:F53))</f>
        <v>1.915E-3</v>
      </c>
      <c r="H53" s="15">
        <f>IF(G53="","",IF('Исходные данные'!$E$13="в абсолютных единицах",_xlfn.VAR.S(B53:F53),IF('Исходные данные'!$E$17="образец для контроля",(100*_xlfn.STDEV.S(B53:F53)/'Исходные данные'!$E$15)^2,(100*_xlfn.STDEV.S(B53:F53)/G53)^2)))</f>
        <v>11.043772880038723</v>
      </c>
      <c r="I53" s="42" t="str">
        <f>IF('Исходные данные'!$E$17="несколько рабочих проб","Показать","Скрыть")</f>
        <v>Показать</v>
      </c>
      <c r="J53" s="19"/>
      <c r="K53" s="19"/>
      <c r="L53" s="19"/>
      <c r="M53" s="19"/>
      <c r="N53" s="19"/>
    </row>
    <row r="54" spans="1:14" ht="15.75" x14ac:dyDescent="0.25">
      <c r="A54" s="21">
        <v>3</v>
      </c>
      <c r="B54" s="21">
        <f>IF(ISBLANK('Исходные данные'!C44),"",'Исходные данные'!C44)</f>
        <v>1.7099999999999999E-3</v>
      </c>
      <c r="C54" s="21">
        <f>IF(ISBLANK('Исходные данные'!D44),"",'Исходные данные'!D44)</f>
        <v>1.65E-3</v>
      </c>
      <c r="D54" s="21" t="str">
        <f>IF(ISBLANK('Исходные данные'!E44),"",'Исходные данные'!E44)</f>
        <v/>
      </c>
      <c r="E54" s="21" t="str">
        <f>IF(ISBLANK('Исходные данные'!F44),"",'Исходные данные'!F44)</f>
        <v/>
      </c>
      <c r="F54" s="21" t="str">
        <f>IF(ISBLANK('Исходные данные'!G44),"",'Исходные данные'!G44)</f>
        <v/>
      </c>
      <c r="G54" s="15">
        <f t="shared" si="0"/>
        <v>1.6800000000000001E-3</v>
      </c>
      <c r="H54" s="15">
        <f>IF(G54="","",IF('Исходные данные'!$E$13="в абсолютных единицах",_xlfn.VAR.S(B54:F54),IF('Исходные данные'!$E$17="образец для контроля",(100*_xlfn.STDEV.S(B54:F54)/'Исходные данные'!$E$15)^2,(100*_xlfn.STDEV.S(B54:F54)/G54)^2)))</f>
        <v>6.3775510204081494</v>
      </c>
      <c r="I54" s="42" t="str">
        <f>IF('Исходные данные'!$E$17="несколько рабочих проб","Показать","Скрыть")</f>
        <v>Показать</v>
      </c>
      <c r="J54" s="19"/>
      <c r="K54" s="19"/>
      <c r="L54" s="19"/>
      <c r="M54" s="19"/>
      <c r="N54" s="19"/>
    </row>
    <row r="55" spans="1:14" ht="15.75" x14ac:dyDescent="0.25">
      <c r="A55" s="21">
        <v>4</v>
      </c>
      <c r="B55" s="21">
        <f>IF(ISBLANK('Исходные данные'!C45),"",'Исходные данные'!C45)</f>
        <v>1.91E-3</v>
      </c>
      <c r="C55" s="21">
        <f>IF(ISBLANK('Исходные данные'!D45),"",'Исходные данные'!D45)</f>
        <v>1.8500000000000001E-3</v>
      </c>
      <c r="D55" s="21" t="str">
        <f>IF(ISBLANK('Исходные данные'!E45),"",'Исходные данные'!E45)</f>
        <v/>
      </c>
      <c r="E55" s="21" t="str">
        <f>IF(ISBLANK('Исходные данные'!F45),"",'Исходные данные'!F45)</f>
        <v/>
      </c>
      <c r="F55" s="21" t="str">
        <f>IF(ISBLANK('Исходные данные'!G45),"",'Исходные данные'!G45)</f>
        <v/>
      </c>
      <c r="G55" s="15">
        <f t="shared" si="0"/>
        <v>1.8800000000000002E-3</v>
      </c>
      <c r="H55" s="15">
        <f>IF(G55="","",IF('Исходные данные'!$E$13="в абсолютных единицах",_xlfn.VAR.S(B55:F55),IF('Исходные данные'!$E$17="образец для контроля",(100*_xlfn.STDEV.S(B55:F55)/'Исходные данные'!$E$15)^2,(100*_xlfn.STDEV.S(B55:F55)/G55)^2)))</f>
        <v>5.0928021729289155</v>
      </c>
      <c r="I55" s="42" t="str">
        <f>IF('Исходные данные'!$E$17="несколько рабочих проб","Показать","Скрыть")</f>
        <v>Показать</v>
      </c>
      <c r="J55" s="19"/>
      <c r="K55" s="19"/>
      <c r="L55" s="19"/>
      <c r="M55" s="19"/>
      <c r="N55" s="19"/>
    </row>
    <row r="56" spans="1:14" ht="15.75" x14ac:dyDescent="0.25">
      <c r="A56" s="21">
        <v>5</v>
      </c>
      <c r="B56" s="21">
        <f>IF(ISBLANK('Исходные данные'!C46),"",'Исходные данные'!C46)</f>
        <v>4.6800000000000001E-3</v>
      </c>
      <c r="C56" s="21">
        <f>IF(ISBLANK('Исходные данные'!D46),"",'Исходные данные'!D46)</f>
        <v>4.5399999999999998E-3</v>
      </c>
      <c r="D56" s="21" t="str">
        <f>IF(ISBLANK('Исходные данные'!E46),"",'Исходные данные'!E46)</f>
        <v/>
      </c>
      <c r="E56" s="21" t="str">
        <f>IF(ISBLANK('Исходные данные'!F46),"",'Исходные данные'!F46)</f>
        <v/>
      </c>
      <c r="F56" s="21" t="str">
        <f>IF(ISBLANK('Исходные данные'!G46),"",'Исходные данные'!G46)</f>
        <v/>
      </c>
      <c r="G56" s="15">
        <f t="shared" si="0"/>
        <v>4.6099999999999995E-3</v>
      </c>
      <c r="H56" s="15">
        <f>IF(G56="","",IF('Исходные данные'!$E$13="в абсолютных единицах",_xlfn.VAR.S(B56:F56),IF('Исходные данные'!$E$17="образец для контроля",(100*_xlfn.STDEV.S(B56:F56)/'Исходные данные'!$E$15)^2,(100*_xlfn.STDEV.S(B56:F56)/G56)^2)))</f>
        <v>4.6113090000517838</v>
      </c>
      <c r="I56" s="42" t="str">
        <f>IF('Исходные данные'!$E$17="несколько рабочих проб","Показать","Скрыть")</f>
        <v>Показать</v>
      </c>
      <c r="J56" s="19"/>
      <c r="K56" s="19"/>
      <c r="L56" s="19"/>
      <c r="M56" s="19"/>
      <c r="N56" s="19"/>
    </row>
    <row r="57" spans="1:14" ht="15.75" x14ac:dyDescent="0.25">
      <c r="A57" s="21">
        <v>6</v>
      </c>
      <c r="B57" s="21">
        <f>IF(ISBLANK('Исходные данные'!C47),"",'Исходные данные'!C47)</f>
        <v>3.5000000000000001E-3</v>
      </c>
      <c r="C57" s="21">
        <f>IF(ISBLANK('Исходные данные'!D47),"",'Исходные данные'!D47)</f>
        <v>3.46E-3</v>
      </c>
      <c r="D57" s="21" t="str">
        <f>IF(ISBLANK('Исходные данные'!E47),"",'Исходные данные'!E47)</f>
        <v/>
      </c>
      <c r="E57" s="21" t="str">
        <f>IF(ISBLANK('Исходные данные'!F47),"",'Исходные данные'!F47)</f>
        <v/>
      </c>
      <c r="F57" s="21" t="str">
        <f>IF(ISBLANK('Исходные данные'!G47),"",'Исходные данные'!G47)</f>
        <v/>
      </c>
      <c r="G57" s="15">
        <f t="shared" si="0"/>
        <v>3.48E-3</v>
      </c>
      <c r="H57" s="15">
        <f>IF(G57="","",IF('Исходные данные'!$E$13="в абсолютных единицах",_xlfn.VAR.S(B57:F57),IF('Исходные данные'!$E$17="образец для контроля",(100*_xlfn.STDEV.S(B57:F57)/'Исходные данные'!$E$15)^2,(100*_xlfn.STDEV.S(B57:F57)/G57)^2)))</f>
        <v>0.66058924560708487</v>
      </c>
      <c r="I57" s="42" t="str">
        <f>IF('Исходные данные'!$E$17="несколько рабочих проб","Показать","Скрыть")</f>
        <v>Показать</v>
      </c>
      <c r="J57" s="19"/>
      <c r="K57" s="19"/>
      <c r="L57" s="19"/>
      <c r="M57" s="19"/>
      <c r="N57" s="19"/>
    </row>
    <row r="58" spans="1:14" ht="15.75" x14ac:dyDescent="0.25">
      <c r="A58" s="21">
        <v>7</v>
      </c>
      <c r="B58" s="21">
        <f>IF(ISBLANK('Исходные данные'!C48),"",'Исходные данные'!C48)</f>
        <v>1.9499999999999999E-3</v>
      </c>
      <c r="C58" s="21">
        <f>IF(ISBLANK('Исходные данные'!D48),"",'Исходные данные'!D48)</f>
        <v>2.16E-3</v>
      </c>
      <c r="D58" s="21" t="str">
        <f>IF(ISBLANK('Исходные данные'!E48),"",'Исходные данные'!E48)</f>
        <v/>
      </c>
      <c r="E58" s="21" t="str">
        <f>IF(ISBLANK('Исходные данные'!F48),"",'Исходные данные'!F48)</f>
        <v/>
      </c>
      <c r="F58" s="21" t="str">
        <f>IF(ISBLANK('Исходные данные'!G48),"",'Исходные данные'!G48)</f>
        <v/>
      </c>
      <c r="G58" s="15">
        <f t="shared" si="0"/>
        <v>2.055E-3</v>
      </c>
      <c r="H58" s="15">
        <f>IF(G58="","",IF('Исходные данные'!$E$13="в абсолютных единицах",_xlfn.VAR.S(B58:F58),IF('Исходные данные'!$E$17="образец для контроля",(100*_xlfn.STDEV.S(B58:F58)/'Исходные данные'!$E$15)^2,(100*_xlfn.STDEV.S(B58:F58)/G58)^2)))</f>
        <v>52.213756726517197</v>
      </c>
      <c r="I58" s="42" t="str">
        <f>IF('Исходные данные'!$E$17="несколько рабочих проб","Показать","Скрыть")</f>
        <v>Показать</v>
      </c>
      <c r="J58" s="19"/>
      <c r="K58" s="19"/>
      <c r="L58" s="19"/>
      <c r="M58" s="19"/>
      <c r="N58" s="19"/>
    </row>
    <row r="59" spans="1:14" ht="15.75" x14ac:dyDescent="0.25">
      <c r="A59" s="21">
        <v>8</v>
      </c>
      <c r="B59" s="21">
        <f>IF(ISBLANK('Исходные данные'!C49),"",'Исходные данные'!C49)</f>
        <v>1.9E-3</v>
      </c>
      <c r="C59" s="21">
        <f>IF(ISBLANK('Исходные данные'!D49),"",'Исходные данные'!D49)</f>
        <v>2.0799999999999998E-3</v>
      </c>
      <c r="D59" s="21" t="str">
        <f>IF(ISBLANK('Исходные данные'!E49),"",'Исходные данные'!E49)</f>
        <v/>
      </c>
      <c r="E59" s="21" t="str">
        <f>IF(ISBLANK('Исходные данные'!F49),"",'Исходные данные'!F49)</f>
        <v/>
      </c>
      <c r="F59" s="21" t="str">
        <f>IF(ISBLANK('Исходные данные'!G49),"",'Исходные данные'!G49)</f>
        <v/>
      </c>
      <c r="G59" s="15">
        <f t="shared" si="0"/>
        <v>1.99E-3</v>
      </c>
      <c r="H59" s="15">
        <f>IF(G59="","",IF('Исходные данные'!$E$13="в абсолютных единицах",_xlfn.VAR.S(B59:F59),IF('Исходные данные'!$E$17="образец для контроля",(100*_xlfn.STDEV.S(B59:F59)/'Исходные данные'!$E$15)^2,(100*_xlfn.STDEV.S(B59:F59)/G59)^2)))</f>
        <v>40.90805787732625</v>
      </c>
      <c r="I59" s="42" t="str">
        <f>IF('Исходные данные'!$E$17="несколько рабочих проб","Показать","Скрыть")</f>
        <v>Показать</v>
      </c>
      <c r="J59" s="19"/>
      <c r="K59" s="19"/>
      <c r="L59" s="19"/>
      <c r="M59" s="19"/>
      <c r="N59" s="19"/>
    </row>
    <row r="60" spans="1:14" ht="15.75" x14ac:dyDescent="0.25">
      <c r="A60" s="21">
        <v>9</v>
      </c>
      <c r="B60" s="21">
        <f>IF(ISBLANK('Исходные данные'!C50),"",'Исходные данные'!C50)</f>
        <v>1.9E-3</v>
      </c>
      <c r="C60" s="21">
        <f>IF(ISBLANK('Исходные данные'!D50),"",'Исходные данные'!D50)</f>
        <v>1.7700000000000001E-3</v>
      </c>
      <c r="D60" s="21" t="str">
        <f>IF(ISBLANK('Исходные данные'!E50),"",'Исходные данные'!E50)</f>
        <v/>
      </c>
      <c r="E60" s="21" t="str">
        <f>IF(ISBLANK('Исходные данные'!F50),"",'Исходные данные'!F50)</f>
        <v/>
      </c>
      <c r="F60" s="21" t="str">
        <f>IF(ISBLANK('Исходные данные'!G50),"",'Исходные данные'!G50)</f>
        <v/>
      </c>
      <c r="G60" s="15">
        <f t="shared" si="0"/>
        <v>1.835E-3</v>
      </c>
      <c r="H60" s="15">
        <f>IF(G60="","",IF('Исходные данные'!$E$13="в абсолютных единицах",_xlfn.VAR.S(B60:F60),IF('Исходные данные'!$E$17="образец для контроля",(100*_xlfn.STDEV.S(B60:F60)/'Исходные данные'!$E$15)^2,(100*_xlfn.STDEV.S(B60:F60)/G60)^2)))</f>
        <v>25.094848131621696</v>
      </c>
      <c r="I60" s="42" t="str">
        <f>IF('Исходные данные'!$E$17="несколько рабочих проб","Показать","Скрыть")</f>
        <v>Показать</v>
      </c>
      <c r="J60" s="19"/>
      <c r="K60" s="19"/>
      <c r="L60" s="19"/>
      <c r="M60" s="19"/>
      <c r="N60" s="19"/>
    </row>
    <row r="61" spans="1:14" ht="15.75" x14ac:dyDescent="0.25">
      <c r="A61" s="21">
        <v>10</v>
      </c>
      <c r="B61" s="21">
        <f>IF(ISBLANK('Исходные данные'!C51),"",'Исходные данные'!C51)</f>
        <v>2.1700000000000001E-3</v>
      </c>
      <c r="C61" s="21">
        <f>IF(ISBLANK('Исходные данные'!D51),"",'Исходные данные'!D51)</f>
        <v>2.2200000000000002E-3</v>
      </c>
      <c r="D61" s="21" t="str">
        <f>IF(ISBLANK('Исходные данные'!E51),"",'Исходные данные'!E51)</f>
        <v/>
      </c>
      <c r="E61" s="21" t="str">
        <f>IF(ISBLANK('Исходные данные'!F51),"",'Исходные данные'!F51)</f>
        <v/>
      </c>
      <c r="F61" s="21" t="str">
        <f>IF(ISBLANK('Исходные данные'!G51),"",'Исходные данные'!G51)</f>
        <v/>
      </c>
      <c r="G61" s="15">
        <f t="shared" si="0"/>
        <v>2.1949999999999999E-3</v>
      </c>
      <c r="H61" s="15">
        <f>IF(G61="","",IF('Исходные данные'!$E$13="в абсолютных единицах",_xlfn.VAR.S(B61:F61),IF('Исходные данные'!$E$17="образец для контроля",(100*_xlfn.STDEV.S(B61:F61)/'Исходные данные'!$E$15)^2,(100*_xlfn.STDEV.S(B61:F61)/G61)^2)))</f>
        <v>2.5944240638020908</v>
      </c>
      <c r="I61" s="42" t="str">
        <f>IF('Исходные данные'!$E$17="несколько рабочих проб","Показать","Скрыть")</f>
        <v>Показать</v>
      </c>
      <c r="J61" s="19"/>
      <c r="K61" s="19"/>
      <c r="L61" s="19"/>
      <c r="M61" s="19"/>
      <c r="N61" s="19"/>
    </row>
    <row r="62" spans="1:14" ht="15.75" x14ac:dyDescent="0.25">
      <c r="A62" s="21">
        <v>11</v>
      </c>
      <c r="B62" s="21">
        <f>IF(ISBLANK('Исходные данные'!C52),"",'Исходные данные'!C52)</f>
        <v>2.6800000000000001E-3</v>
      </c>
      <c r="C62" s="21">
        <f>IF(ISBLANK('Исходные данные'!D52),"",'Исходные данные'!D52)</f>
        <v>2.5700000000000002E-3</v>
      </c>
      <c r="D62" s="21" t="str">
        <f>IF(ISBLANK('Исходные данные'!E52),"",'Исходные данные'!E52)</f>
        <v/>
      </c>
      <c r="E62" s="21" t="str">
        <f>IF(ISBLANK('Исходные данные'!F52),"",'Исходные данные'!F52)</f>
        <v/>
      </c>
      <c r="F62" s="21" t="str">
        <f>IF(ISBLANK('Исходные данные'!G52),"",'Исходные данные'!G52)</f>
        <v/>
      </c>
      <c r="G62" s="15">
        <f t="shared" si="0"/>
        <v>2.6250000000000002E-3</v>
      </c>
      <c r="H62" s="15">
        <f>IF(G62="","",IF('Исходные данные'!$E$13="в абсолютных единицах",_xlfn.VAR.S(B62:F62),IF('Исходные данные'!$E$17="образец для контроля",(100*_xlfn.STDEV.S(B62:F62)/'Исходные данные'!$E$15)^2,(100*_xlfn.STDEV.S(B62:F62)/G62)^2)))</f>
        <v>8.7800453514739019</v>
      </c>
      <c r="I62" s="42" t="str">
        <f>IF('Исходные данные'!$E$17="несколько рабочих проб","Показать","Скрыть")</f>
        <v>Показать</v>
      </c>
      <c r="J62" s="19"/>
      <c r="K62" s="19"/>
      <c r="L62" s="19"/>
      <c r="M62" s="19"/>
      <c r="N62" s="19"/>
    </row>
    <row r="63" spans="1:14" ht="15.75" x14ac:dyDescent="0.25">
      <c r="A63" s="21">
        <v>12</v>
      </c>
      <c r="B63" s="21">
        <f>IF(ISBLANK('Исходные данные'!C53),"",'Исходные данные'!C53)</f>
        <v>3.3999999999999998E-3</v>
      </c>
      <c r="C63" s="21">
        <f>IF(ISBLANK('Исходные данные'!D53),"",'Исходные данные'!D53)</f>
        <v>3.1900000000000001E-3</v>
      </c>
      <c r="D63" s="21" t="str">
        <f>IF(ISBLANK('Исходные данные'!E53),"",'Исходные данные'!E53)</f>
        <v/>
      </c>
      <c r="E63" s="21" t="str">
        <f>IF(ISBLANK('Исходные данные'!F53),"",'Исходные данные'!F53)</f>
        <v/>
      </c>
      <c r="F63" s="21" t="str">
        <f>IF(ISBLANK('Исходные данные'!G53),"",'Исходные данные'!G53)</f>
        <v/>
      </c>
      <c r="G63" s="15">
        <f t="shared" si="0"/>
        <v>3.2950000000000002E-3</v>
      </c>
      <c r="H63" s="15">
        <f>IF(G63="","",IF('Исходные данные'!$E$13="в абсолютных единицах",_xlfn.VAR.S(B63:F63),IF('Исходные данные'!$E$17="образец для контроля",(100*_xlfn.STDEV.S(B63:F63)/'Исходные данные'!$E$15)^2,(100*_xlfn.STDEV.S(B63:F63)/G63)^2)))</f>
        <v>20.309430990533723</v>
      </c>
      <c r="I63" s="42" t="str">
        <f>IF('Исходные данные'!$E$17="несколько рабочих проб","Показать","Скрыть")</f>
        <v>Показать</v>
      </c>
      <c r="J63" s="19"/>
      <c r="K63" s="19"/>
      <c r="L63" s="19"/>
      <c r="M63" s="19"/>
      <c r="N63" s="19"/>
    </row>
    <row r="64" spans="1:14" ht="15.75" x14ac:dyDescent="0.25">
      <c r="A64" s="21">
        <v>13</v>
      </c>
      <c r="B64" s="21">
        <f>IF(ISBLANK('Исходные данные'!C54),"",'Исходные данные'!C54)</f>
        <v>1.01E-3</v>
      </c>
      <c r="C64" s="21">
        <f>IF(ISBLANK('Исходные данные'!D54),"",'Исходные данные'!D54)</f>
        <v>1.17E-3</v>
      </c>
      <c r="D64" s="21" t="str">
        <f>IF(ISBLANK('Исходные данные'!E54),"",'Исходные данные'!E54)</f>
        <v/>
      </c>
      <c r="E64" s="21" t="str">
        <f>IF(ISBLANK('Исходные данные'!F54),"",'Исходные данные'!F54)</f>
        <v/>
      </c>
      <c r="F64" s="21" t="str">
        <f>IF(ISBLANK('Исходные данные'!G54),"",'Исходные данные'!G54)</f>
        <v/>
      </c>
      <c r="G64" s="15">
        <f t="shared" si="0"/>
        <v>1.09E-3</v>
      </c>
      <c r="H64" s="15">
        <f>IF(G64="","",IF('Исходные данные'!$E$13="в абсолютных единицах",_xlfn.VAR.S(B64:F64),IF('Исходные данные'!$E$17="образец для контроля",(100*_xlfn.STDEV.S(B64:F64)/'Исходные данные'!$E$15)^2,(100*_xlfn.STDEV.S(B64:F64)/G64)^2)))</f>
        <v>107.73503913811967</v>
      </c>
      <c r="I64" s="42" t="str">
        <f>IF('Исходные данные'!$E$17="несколько рабочих проб","Показать","Скрыть")</f>
        <v>Показать</v>
      </c>
      <c r="J64" s="19"/>
      <c r="K64" s="19"/>
      <c r="L64" s="19"/>
      <c r="M64" s="19"/>
      <c r="N64" s="19"/>
    </row>
    <row r="65" spans="1:15" ht="15.75" x14ac:dyDescent="0.25">
      <c r="A65" s="21">
        <v>14</v>
      </c>
      <c r="B65" s="21">
        <f>IF(ISBLANK('Исходные данные'!C55),"",'Исходные данные'!C55)</f>
        <v>3.5599999999999998E-3</v>
      </c>
      <c r="C65" s="21">
        <f>IF(ISBLANK('Исходные данные'!D55),"",'Исходные данные'!D55)</f>
        <v>3.4399999999999999E-3</v>
      </c>
      <c r="D65" s="21" t="str">
        <f>IF(ISBLANK('Исходные данные'!E55),"",'Исходные данные'!E55)</f>
        <v/>
      </c>
      <c r="E65" s="21" t="str">
        <f>IF(ISBLANK('Исходные данные'!F55),"",'Исходные данные'!F55)</f>
        <v/>
      </c>
      <c r="F65" s="21" t="str">
        <f>IF(ISBLANK('Исходные данные'!G55),"",'Исходные данные'!G55)</f>
        <v/>
      </c>
      <c r="G65" s="15">
        <f t="shared" si="0"/>
        <v>3.4999999999999996E-3</v>
      </c>
      <c r="H65" s="15">
        <f>IF(G65="","",IF('Исходные данные'!$E$13="в абсолютных единицах",_xlfn.VAR.S(B65:F65),IF('Исходные данные'!$E$17="образец для контроля",(100*_xlfn.STDEV.S(B65:F65)/'Исходные данные'!$E$15)^2,(100*_xlfn.STDEV.S(B65:F65)/G65)^2)))</f>
        <v>5.8775510204081511</v>
      </c>
      <c r="I65" s="42" t="str">
        <f>IF('Исходные данные'!$E$17="несколько рабочих проб","Показать","Скрыть")</f>
        <v>Показать</v>
      </c>
      <c r="J65" s="19"/>
      <c r="K65" s="19"/>
      <c r="L65" s="19"/>
      <c r="M65" s="19"/>
      <c r="N65" s="19"/>
    </row>
    <row r="66" spans="1:15" ht="15.75" x14ac:dyDescent="0.25">
      <c r="A66" s="21">
        <v>15</v>
      </c>
      <c r="B66" s="21">
        <f>IF(ISBLANK('Исходные данные'!C56),"",'Исходные данные'!C56)</f>
        <v>4.9800000000000001E-3</v>
      </c>
      <c r="C66" s="21">
        <f>IF(ISBLANK('Исходные данные'!D56),"",'Исходные данные'!D56)</f>
        <v>5.1000000000000004E-3</v>
      </c>
      <c r="D66" s="21" t="str">
        <f>IF(ISBLANK('Исходные данные'!E56),"",'Исходные данные'!E56)</f>
        <v/>
      </c>
      <c r="E66" s="21" t="str">
        <f>IF(ISBLANK('Исходные данные'!F56),"",'Исходные данные'!F56)</f>
        <v/>
      </c>
      <c r="F66" s="21" t="str">
        <f>IF(ISBLANK('Исходные данные'!G56),"",'Исходные данные'!G56)</f>
        <v/>
      </c>
      <c r="G66" s="15">
        <f t="shared" si="0"/>
        <v>5.0400000000000002E-3</v>
      </c>
      <c r="H66" s="15">
        <f>IF(G66="","",IF('Исходные данные'!$E$13="в абсолютных единицах",_xlfn.VAR.S(B66:F66),IF('Исходные данные'!$E$17="образец для контроля",(100*_xlfn.STDEV.S(B66:F66)/'Исходные данные'!$E$15)^2,(100*_xlfn.STDEV.S(B66:F66)/G66)^2)))</f>
        <v>2.83446712018142</v>
      </c>
      <c r="I66" s="42" t="str">
        <f>IF('Исходные данные'!$E$17="несколько рабочих проб","Показать","Скрыть")</f>
        <v>Показать</v>
      </c>
      <c r="J66" s="19"/>
      <c r="K66" s="19"/>
      <c r="L66" s="19"/>
      <c r="M66" s="19"/>
      <c r="N66" s="19"/>
    </row>
    <row r="67" spans="1:15" ht="15.75" x14ac:dyDescent="0.25">
      <c r="A67" s="21">
        <v>16</v>
      </c>
      <c r="B67" s="21" t="str">
        <f>IF(ISBLANK('Исходные данные'!C57),"",'Исходные данные'!C57)</f>
        <v/>
      </c>
      <c r="C67" s="21" t="str">
        <f>IF(ISBLANK('Исходные данные'!D57),"",'Исходные данные'!D57)</f>
        <v/>
      </c>
      <c r="D67" s="21" t="str">
        <f>IF(ISBLANK('Исходные данные'!E57),"",'Исходные данные'!E57)</f>
        <v/>
      </c>
      <c r="E67" s="21" t="str">
        <f>IF(ISBLANK('Исходные данные'!F57),"",'Исходные данные'!F57)</f>
        <v/>
      </c>
      <c r="F67" s="21" t="str">
        <f>IF(ISBLANK('Исходные данные'!G57),"",'Исходные данные'!G57)</f>
        <v/>
      </c>
      <c r="G67" s="15" t="str">
        <f t="shared" si="0"/>
        <v/>
      </c>
      <c r="H67" s="15" t="str">
        <f>IF(G67="","",IF('Исходные данные'!$E$13="в абсолютных единицах",_xlfn.VAR.S(B67:F67),IF('Исходные данные'!$E$17="образец для контроля",(100*_xlfn.STDEV.S(B67:F67)/'Исходные данные'!$E$15)^2,(100*_xlfn.STDEV.S(B67:F67)/G67)^2)))</f>
        <v/>
      </c>
      <c r="I67" s="42" t="str">
        <f>IF('Исходные данные'!$E$17="несколько рабочих проб","Показать","Скрыть")</f>
        <v>Показать</v>
      </c>
      <c r="J67" s="19"/>
      <c r="K67" s="19"/>
      <c r="L67" s="19"/>
      <c r="M67" s="19"/>
      <c r="N67" s="19"/>
    </row>
    <row r="68" spans="1:15" ht="15.75" x14ac:dyDescent="0.25">
      <c r="A68" s="21">
        <v>17</v>
      </c>
      <c r="B68" s="21" t="str">
        <f>IF(ISBLANK('Исходные данные'!C58),"",'Исходные данные'!C58)</f>
        <v/>
      </c>
      <c r="C68" s="21" t="str">
        <f>IF(ISBLANK('Исходные данные'!D58),"",'Исходные данные'!D58)</f>
        <v/>
      </c>
      <c r="D68" s="21" t="str">
        <f>IF(ISBLANK('Исходные данные'!E58),"",'Исходные данные'!E58)</f>
        <v/>
      </c>
      <c r="E68" s="21" t="str">
        <f>IF(ISBLANK('Исходные данные'!F58),"",'Исходные данные'!F58)</f>
        <v/>
      </c>
      <c r="F68" s="21" t="str">
        <f>IF(ISBLANK('Исходные данные'!G58),"",'Исходные данные'!G58)</f>
        <v/>
      </c>
      <c r="G68" s="15" t="str">
        <f t="shared" si="0"/>
        <v/>
      </c>
      <c r="H68" s="15" t="str">
        <f>IF(G68="","",IF('Исходные данные'!$E$13="в абсолютных единицах",_xlfn.VAR.S(B68:F68),IF('Исходные данные'!$E$17="образец для контроля",(100*_xlfn.STDEV.S(B68:F68)/'Исходные данные'!$E$15)^2,(100*_xlfn.STDEV.S(B68:F68)/G68)^2)))</f>
        <v/>
      </c>
      <c r="I68" s="42" t="str">
        <f>IF('Исходные данные'!$E$17="несколько рабочих проб","Показать","Скрыть")</f>
        <v>Показать</v>
      </c>
      <c r="J68" s="19"/>
      <c r="K68" s="31" t="s">
        <v>23</v>
      </c>
      <c r="L68" s="31">
        <f>COUNT(B52:B71)</f>
        <v>15</v>
      </c>
      <c r="M68" s="19"/>
      <c r="N68" s="19"/>
    </row>
    <row r="69" spans="1:15" ht="15.75" x14ac:dyDescent="0.25">
      <c r="A69" s="21">
        <v>18</v>
      </c>
      <c r="B69" s="21" t="str">
        <f>IF(ISBLANK('Исходные данные'!C59),"",'Исходные данные'!C59)</f>
        <v/>
      </c>
      <c r="C69" s="21" t="str">
        <f>IF(ISBLANK('Исходные данные'!D59),"",'Исходные данные'!D59)</f>
        <v/>
      </c>
      <c r="D69" s="21" t="str">
        <f>IF(ISBLANK('Исходные данные'!E59),"",'Исходные данные'!E59)</f>
        <v/>
      </c>
      <c r="E69" s="21" t="str">
        <f>IF(ISBLANK('Исходные данные'!F59),"",'Исходные данные'!F59)</f>
        <v/>
      </c>
      <c r="F69" s="21" t="str">
        <f>IF(ISBLANK('Исходные данные'!G59),"",'Исходные данные'!G59)</f>
        <v/>
      </c>
      <c r="G69" s="15" t="str">
        <f t="shared" si="0"/>
        <v/>
      </c>
      <c r="H69" s="15" t="str">
        <f>IF(G69="","",IF('Исходные данные'!$E$13="в абсолютных единицах",_xlfn.VAR.S(B69:F69),IF('Исходные данные'!$E$17="образец для контроля",(100*_xlfn.STDEV.S(B69:F69)/'Исходные данные'!$E$15)^2,(100*_xlfn.STDEV.S(B69:F69)/G69)^2)))</f>
        <v/>
      </c>
      <c r="I69" s="42" t="str">
        <f>IF('Исходные данные'!$E$17="несколько рабочих проб","Показать","Скрыть")</f>
        <v>Показать</v>
      </c>
      <c r="J69" s="19"/>
      <c r="K69" s="31" t="s">
        <v>24</v>
      </c>
      <c r="L69" s="31">
        <f>MIN(IF(B52="",100,COUNT(B52:F52)),IF(B53="",100,COUNT(B53:F53)),IF(B54="",100,COUNT(B54:F54)),IF(B55="",100,COUNT(B55:F55)),IF(B56="",100,COUNT(B56:F56)),IF(B57="",100,COUNT(B57:F57)),IF(B58="",100,COUNT(B58:F58)),IF(B59="",100,COUNT(B59:F59)),IF(B60="",100,COUNT(B60:F60)),IF(B61="",100,COUNT(B61:F61)),IF(B62="",100,COUNT(B62:F62)),IF(B63="",100,COUNT(B63:F63)),IF(B64="",100,COUNT(B64:F64)),IF(B65="",100,COUNT(B65:F65)),IF(B66="",100,COUNT(B66:F66)),IF(B67="",100,COUNT(B67:F67)),IF(B68="",100,COUNT(B68:F68)),IF(B69="",100,COUNT(B69:F69)),IF(B70="",100,COUNT(B70:F70)),IF(B71="",100,COUNT(B71:F71)))</f>
        <v>2</v>
      </c>
      <c r="M69" s="19"/>
      <c r="N69" s="19"/>
    </row>
    <row r="70" spans="1:15" ht="15.75" x14ac:dyDescent="0.25">
      <c r="A70" s="21">
        <v>19</v>
      </c>
      <c r="B70" s="21" t="str">
        <f>IF(ISBLANK('Исходные данные'!C60),"",'Исходные данные'!C60)</f>
        <v/>
      </c>
      <c r="C70" s="21" t="str">
        <f>IF(ISBLANK('Исходные данные'!D60),"",'Исходные данные'!D60)</f>
        <v/>
      </c>
      <c r="D70" s="21" t="str">
        <f>IF(ISBLANK('Исходные данные'!E60),"",'Исходные данные'!E60)</f>
        <v/>
      </c>
      <c r="E70" s="21" t="str">
        <f>IF(ISBLANK('Исходные данные'!F60),"",'Исходные данные'!F60)</f>
        <v/>
      </c>
      <c r="F70" s="21" t="str">
        <f>IF(ISBLANK('Исходные данные'!G60),"",'Исходные данные'!G60)</f>
        <v/>
      </c>
      <c r="G70" s="15" t="str">
        <f t="shared" si="0"/>
        <v/>
      </c>
      <c r="H70" s="15" t="str">
        <f>IF(G70="","",IF('Исходные данные'!$E$13="в абсолютных единицах",_xlfn.VAR.S(B70:F70),IF('Исходные данные'!$E$17="образец для контроля",(100*_xlfn.STDEV.S(B70:F70)/'Исходные данные'!$E$15)^2,(100*_xlfn.STDEV.S(B70:F70)/G70)^2)))</f>
        <v/>
      </c>
      <c r="I70" s="42" t="str">
        <f>IF('Исходные данные'!$E$17="несколько рабочих проб","Показать","Скрыть")</f>
        <v>Показать</v>
      </c>
      <c r="J70" s="19"/>
      <c r="K70" s="31" t="s">
        <v>25</v>
      </c>
      <c r="L70" s="31">
        <f>L68*(L69-1)</f>
        <v>15</v>
      </c>
      <c r="M70" s="19"/>
      <c r="N70" s="19"/>
    </row>
    <row r="71" spans="1:15" ht="15.75" x14ac:dyDescent="0.25">
      <c r="A71" s="21">
        <v>20</v>
      </c>
      <c r="B71" s="21" t="str">
        <f>IF(ISBLANK('Исходные данные'!C61),"",'Исходные данные'!C61)</f>
        <v/>
      </c>
      <c r="C71" s="21" t="str">
        <f>IF(ISBLANK('Исходные данные'!D61),"",'Исходные данные'!D61)</f>
        <v/>
      </c>
      <c r="D71" s="21" t="str">
        <f>IF(ISBLANK('Исходные данные'!E61),"",'Исходные данные'!E61)</f>
        <v/>
      </c>
      <c r="E71" s="21" t="str">
        <f>IF(ISBLANK('Исходные данные'!F61),"",'Исходные данные'!F61)</f>
        <v/>
      </c>
      <c r="F71" s="21" t="str">
        <f>IF(ISBLANK('Исходные данные'!G61),"",'Исходные данные'!G61)</f>
        <v/>
      </c>
      <c r="G71" s="15" t="str">
        <f t="shared" si="0"/>
        <v/>
      </c>
      <c r="H71" s="15" t="str">
        <f>IF(G71="","",IF('Исходные данные'!$E$13="в абсолютных единицах",_xlfn.VAR.S(B71:F71),IF('Исходные данные'!$E$17="образец для контроля",(100*_xlfn.STDEV.S(B71:F71)/'Исходные данные'!$E$15)^2,(100*_xlfn.STDEV.S(B71:F71)/G71)^2)))</f>
        <v/>
      </c>
      <c r="I71" s="42" t="str">
        <f>IF('Исходные данные'!$E$17="несколько рабочих проб","Показать","Скрыть")</f>
        <v>Показать</v>
      </c>
      <c r="J71" s="19"/>
      <c r="K71" s="31" t="s">
        <v>26</v>
      </c>
      <c r="L71" s="31" t="str">
        <f>IF(L70&gt;=15,"выполняется","не выполняется")</f>
        <v>выполняется</v>
      </c>
      <c r="M71" s="19"/>
      <c r="N71" s="19"/>
    </row>
    <row r="72" spans="1:15" ht="15.75" x14ac:dyDescent="0.25">
      <c r="A72" s="19"/>
      <c r="B72" s="19"/>
      <c r="C72" s="19"/>
      <c r="D72" s="19"/>
      <c r="E72" s="19"/>
      <c r="F72" s="19"/>
      <c r="G72" s="19"/>
      <c r="H72" s="19"/>
      <c r="I72" s="42" t="str">
        <f>IF('Исходные данные'!$E$17="несколько рабочих проб","Показать","Скрыть")</f>
        <v>Показать</v>
      </c>
      <c r="J72" s="19"/>
      <c r="K72" s="19"/>
      <c r="L72" s="19"/>
      <c r="M72" s="19"/>
      <c r="N72" s="19"/>
    </row>
    <row r="73" spans="1:15" ht="33" customHeight="1" x14ac:dyDescent="0.25">
      <c r="A73" s="103" t="str">
        <f>CONCATENATE(IF(AND(MIN(G52:G71)&gt;='Исходные данные'!E8,MAX(G52:G71)&lt;='Исходные данные'!G8),"","ВНИМАНИЕ!!! "),"Содержание определяемого компонента в рабочих пробах ",IF(AND(MIN(G52:G71)&gt;='Исходные данные'!E8,MAX(G52:G71)&lt;='Исходные данные'!G8),"находится","не находится")," в проверяемом диапазоне (поддиапазоне) методики измерений.")</f>
        <v>ВНИМАНИЕ!!! Содержание определяемого компонента в рабочих пробах не находится в проверяемом диапазоне (поддиапазоне) методики измерений.</v>
      </c>
      <c r="B73" s="100"/>
      <c r="C73" s="100"/>
      <c r="D73" s="100"/>
      <c r="E73" s="100"/>
      <c r="F73" s="100"/>
      <c r="G73" s="100"/>
      <c r="H73" s="100"/>
      <c r="I73" s="42" t="str">
        <f>IF('Исходные данные'!$E$17="несколько рабочих проб","Показать","Скрыть")</f>
        <v>Показать</v>
      </c>
      <c r="J73" s="29"/>
      <c r="K73" s="41"/>
      <c r="L73" s="41"/>
      <c r="M73" s="41"/>
      <c r="N73" s="41"/>
    </row>
    <row r="74" spans="1:15" ht="15.75" x14ac:dyDescent="0.25">
      <c r="A74" s="92" t="str">
        <f>CONCATENATE("Число рабочих проб М = ",COUNT(B52:B71),", число параллельных определений каждой пробы n' = ",IF(L69=100,0,L69),".")</f>
        <v>Число рабочих проб М = 15, число параллельных определений каждой пробы n' = 2.</v>
      </c>
      <c r="B74" s="85"/>
      <c r="C74" s="85"/>
      <c r="D74" s="85"/>
      <c r="E74" s="85"/>
      <c r="F74" s="85"/>
      <c r="G74" s="85"/>
      <c r="H74" s="85"/>
      <c r="I74" s="42" t="str">
        <f>IF('Исходные данные'!$E$17="несколько рабочих проб","Показать","Скрыть")</f>
        <v>Показать</v>
      </c>
      <c r="J74" s="19"/>
      <c r="K74" s="33"/>
      <c r="L74" s="37"/>
      <c r="M74" s="37"/>
      <c r="N74" s="37"/>
      <c r="O74" s="37"/>
    </row>
    <row r="75" spans="1:15" ht="15.75" x14ac:dyDescent="0.25">
      <c r="A75" s="92" t="str">
        <f>CONCATENATE("Условие М * (n' - 1) ≥ 15 ",L71,", ","М * (n' - 1) = ",L70,".")</f>
        <v>Условие М * (n' - 1) ≥ 15 выполняется, М * (n' - 1) = 15.</v>
      </c>
      <c r="B75" s="85"/>
      <c r="C75" s="85"/>
      <c r="D75" s="85"/>
      <c r="E75" s="85"/>
      <c r="F75" s="85"/>
      <c r="G75" s="85"/>
      <c r="H75" s="85"/>
      <c r="I75" s="42" t="str">
        <f>IF('Исходные данные'!$E$17="несколько рабочих проб","Показать","Скрыть")</f>
        <v>Показать</v>
      </c>
      <c r="J75" s="19"/>
      <c r="K75" s="33"/>
      <c r="L75" s="37"/>
      <c r="M75" s="37"/>
      <c r="N75" s="37"/>
      <c r="O75" s="37"/>
    </row>
    <row r="76" spans="1:15" ht="15.75" x14ac:dyDescent="0.25">
      <c r="A76" s="33"/>
      <c r="B76" s="37"/>
      <c r="C76" s="37"/>
      <c r="D76" s="37"/>
      <c r="E76" s="37"/>
      <c r="F76" s="33"/>
      <c r="G76" s="33"/>
      <c r="H76" s="9"/>
      <c r="I76" s="42" t="str">
        <f>IF('Исходные данные'!$E$17="несколько рабочих проб","Показать","Скрыть")</f>
        <v>Показать</v>
      </c>
      <c r="J76" s="19"/>
      <c r="K76" s="33"/>
      <c r="L76" s="33"/>
      <c r="M76" s="37"/>
      <c r="N76" s="37"/>
      <c r="O76" s="37"/>
    </row>
    <row r="77" spans="1:15" ht="18.75" x14ac:dyDescent="0.25">
      <c r="B77" s="109" t="s">
        <v>9</v>
      </c>
      <c r="C77" s="110"/>
      <c r="D77" s="109" t="s">
        <v>12</v>
      </c>
      <c r="E77" s="110"/>
      <c r="F77" s="109" t="s">
        <v>15</v>
      </c>
      <c r="G77" s="110"/>
      <c r="H77" s="19"/>
      <c r="I77" s="42" t="str">
        <f>IF('Исходные данные'!$E$17="несколько рабочих проб","Показать","Скрыть")</f>
        <v>Показать</v>
      </c>
      <c r="J77" s="19"/>
      <c r="K77" s="19"/>
      <c r="L77" s="19"/>
      <c r="M77" s="19"/>
      <c r="N77" s="19"/>
    </row>
    <row r="78" spans="1:15" ht="15.75" x14ac:dyDescent="0.25">
      <c r="B78" s="109">
        <f>IF(OR(SUM(G52:G71)=0,COUNT(G52:G71)&lt;2),"",SQRT(AVERAGE(H52:H71)))</f>
        <v>4.4659653484035529</v>
      </c>
      <c r="C78" s="110"/>
      <c r="D78" s="109">
        <f>IF(OR(SUM(G52:G71)=0,COUNT(G52:G71)&lt;5),"",VLOOKUP(COUNT(B52:B71)-1,A115:B132,2,TRUE)*'Исходные данные'!E9)</f>
        <v>4.6800000000000006</v>
      </c>
      <c r="E78" s="110"/>
      <c r="F78" s="109" t="str">
        <f>IF(OR(SUM(G52:G71)=0,COUNT(G52:G71)&lt;5),"",IF(B78&lt;=D78,"выполняется","не выполняется"))</f>
        <v>выполняется</v>
      </c>
      <c r="G78" s="110"/>
      <c r="H78" s="19"/>
      <c r="I78" s="42" t="str">
        <f>IF('Исходные данные'!$E$17="несколько рабочих проб","Показать","Скрыть")</f>
        <v>Показать</v>
      </c>
      <c r="J78" s="19"/>
      <c r="K78" s="19"/>
      <c r="L78" s="19"/>
      <c r="M78" s="19"/>
      <c r="N78" s="19"/>
    </row>
    <row r="79" spans="1:15" ht="15.75" x14ac:dyDescent="0.25">
      <c r="A79" s="19"/>
      <c r="B79" s="19"/>
      <c r="C79" s="19"/>
      <c r="D79" s="19"/>
      <c r="E79" s="19"/>
      <c r="F79" s="19"/>
      <c r="G79" s="19"/>
      <c r="H79" s="19"/>
      <c r="I79" s="42" t="str">
        <f>IF('Исходные данные'!$E$17="несколько рабочих проб","Показать","Скрыть")</f>
        <v>Показать</v>
      </c>
      <c r="J79" s="19"/>
      <c r="K79" s="19"/>
      <c r="L79" s="19"/>
      <c r="M79" s="19"/>
      <c r="N79" s="19"/>
    </row>
    <row r="80" spans="1:15" ht="30.75" customHeight="1" x14ac:dyDescent="0.25">
      <c r="A80" s="86" t="str">
        <f>IF(L70&lt;15,"Вывод: недостаточное количество определений для вывода о соответствии показателя повторяемости требованиям методики количественного химического анализа.",IF(F78="выполняется","Вывод: показатель повторяемости результатов анализа соответствует требованиям методики количественного химического анализа.",IF(F78="не выполняется","Вывод: показатель повторяемости результатов анализа не соответствует требованиям методики количественного химического анализа.","Вывод: недостаточное количество определений для вывода о соответствии показателя повторяемости требованиям методики количественного химического анализа.")))</f>
        <v>Вывод: показатель повторяемости результатов анализа соответствует требованиям методики количественного химического анализа.</v>
      </c>
      <c r="B80" s="87"/>
      <c r="C80" s="87"/>
      <c r="D80" s="87"/>
      <c r="E80" s="87"/>
      <c r="F80" s="87"/>
      <c r="G80" s="87"/>
      <c r="H80" s="87"/>
      <c r="I80" s="42" t="str">
        <f>IF('Исходные данные'!$E$17="несколько рабочих проб","Показать","Скрыть")</f>
        <v>Показать</v>
      </c>
      <c r="J80" s="41"/>
      <c r="K80" s="41"/>
      <c r="L80" s="41"/>
      <c r="M80" s="41"/>
      <c r="N80" s="41"/>
    </row>
    <row r="81" spans="1:14" ht="15.75" x14ac:dyDescent="0.25">
      <c r="A81" s="19"/>
      <c r="B81" s="19"/>
      <c r="C81" s="19"/>
      <c r="D81" s="19"/>
      <c r="E81" s="19"/>
      <c r="F81" s="19"/>
      <c r="G81" s="19"/>
      <c r="H81" s="19"/>
      <c r="I81" s="42" t="str">
        <f>IF('Исходные данные'!$E$17="несколько рабочих проб","Показать","Скрыть")</f>
        <v>Показать</v>
      </c>
      <c r="J81" s="19"/>
      <c r="K81" s="19"/>
      <c r="L81" s="19"/>
      <c r="M81" s="19"/>
      <c r="N81" s="19"/>
    </row>
    <row r="82" spans="1:14" ht="36" customHeight="1" x14ac:dyDescent="0.25">
      <c r="A82" s="91" t="s">
        <v>63</v>
      </c>
      <c r="B82" s="80"/>
      <c r="C82" s="80"/>
      <c r="D82" s="80"/>
      <c r="E82" s="80"/>
      <c r="F82" s="80"/>
      <c r="G82" s="80"/>
      <c r="H82" s="80"/>
      <c r="I82" s="42" t="s">
        <v>67</v>
      </c>
      <c r="J82" s="19"/>
      <c r="K82" s="19"/>
      <c r="L82" s="19"/>
      <c r="M82" s="19"/>
      <c r="N82" s="19"/>
    </row>
    <row r="83" spans="1:14" ht="28.5" customHeight="1" x14ac:dyDescent="0.25">
      <c r="A83" s="91" t="s">
        <v>8</v>
      </c>
      <c r="B83" s="80"/>
      <c r="C83" s="80"/>
      <c r="D83" s="80"/>
      <c r="E83" s="80"/>
      <c r="F83" s="80"/>
      <c r="G83" s="80"/>
      <c r="H83" s="80"/>
      <c r="I83" s="42" t="s">
        <v>67</v>
      </c>
      <c r="J83" s="19"/>
      <c r="K83" s="19"/>
      <c r="L83" s="19"/>
      <c r="M83" s="19"/>
      <c r="N83" s="19"/>
    </row>
    <row r="84" spans="1:14" ht="18.75" x14ac:dyDescent="0.25">
      <c r="A84" s="19"/>
      <c r="B84" s="30" t="s">
        <v>0</v>
      </c>
      <c r="C84" s="30" t="s">
        <v>1</v>
      </c>
      <c r="D84" s="30" t="s">
        <v>0</v>
      </c>
      <c r="E84" s="30" t="s">
        <v>1</v>
      </c>
      <c r="F84" s="30" t="s">
        <v>0</v>
      </c>
      <c r="G84" s="30" t="s">
        <v>1</v>
      </c>
      <c r="H84" s="19"/>
      <c r="I84" s="42" t="s">
        <v>67</v>
      </c>
      <c r="J84" s="19"/>
      <c r="K84" s="19"/>
      <c r="L84" s="19"/>
      <c r="M84" s="19"/>
      <c r="N84" s="19"/>
    </row>
    <row r="85" spans="1:14" ht="15.75" x14ac:dyDescent="0.25">
      <c r="A85" s="19"/>
      <c r="B85" s="30">
        <v>1</v>
      </c>
      <c r="C85" s="30">
        <f>IF(ISBLANK('Исходные данные'!C66),"",'Исходные данные'!C66)</f>
        <v>3.8700000000000002E-3</v>
      </c>
      <c r="D85" s="30">
        <v>11</v>
      </c>
      <c r="E85" s="30">
        <f>IF(ISBLANK('Исходные данные'!E66),"",'Исходные данные'!E66)</f>
        <v>4.0200000000000001E-3</v>
      </c>
      <c r="F85" s="30">
        <v>21</v>
      </c>
      <c r="G85" s="30" t="str">
        <f>IF(ISBLANK('Исходные данные'!G66),"",'Исходные данные'!G66)</f>
        <v/>
      </c>
      <c r="H85" s="19"/>
      <c r="I85" s="42" t="s">
        <v>67</v>
      </c>
      <c r="J85" s="19"/>
      <c r="K85" s="19"/>
      <c r="L85" s="19"/>
      <c r="M85" s="19"/>
      <c r="N85" s="19"/>
    </row>
    <row r="86" spans="1:14" ht="15.75" x14ac:dyDescent="0.25">
      <c r="A86" s="19"/>
      <c r="B86" s="30">
        <v>2</v>
      </c>
      <c r="C86" s="30">
        <f>IF(ISBLANK('Исходные данные'!C67),"",'Исходные данные'!C67)</f>
        <v>3.6900000000000001E-3</v>
      </c>
      <c r="D86" s="30">
        <v>12</v>
      </c>
      <c r="E86" s="30">
        <f>IF(ISBLANK('Исходные данные'!E67),"",'Исходные данные'!E67)</f>
        <v>3.8400000000000001E-3</v>
      </c>
      <c r="F86" s="30">
        <v>22</v>
      </c>
      <c r="G86" s="30" t="str">
        <f>IF(ISBLANK('Исходные данные'!G67),"",'Исходные данные'!G67)</f>
        <v/>
      </c>
      <c r="H86" s="19"/>
      <c r="I86" s="42" t="s">
        <v>67</v>
      </c>
      <c r="J86" s="19"/>
      <c r="K86" s="19"/>
      <c r="L86" s="19"/>
      <c r="M86" s="19"/>
      <c r="N86" s="19"/>
    </row>
    <row r="87" spans="1:14" ht="15.75" x14ac:dyDescent="0.25">
      <c r="A87" s="19"/>
      <c r="B87" s="30">
        <v>3</v>
      </c>
      <c r="C87" s="30">
        <f>IF(ISBLANK('Исходные данные'!C68),"",'Исходные данные'!C68)</f>
        <v>3.65E-3</v>
      </c>
      <c r="D87" s="30">
        <v>13</v>
      </c>
      <c r="E87" s="30">
        <f>IF(ISBLANK('Исходные данные'!E68),"",'Исходные данные'!E68)</f>
        <v>4.1099999999999999E-3</v>
      </c>
      <c r="F87" s="30">
        <v>23</v>
      </c>
      <c r="G87" s="30" t="str">
        <f>IF(ISBLANK('Исходные данные'!G68),"",'Исходные данные'!G68)</f>
        <v/>
      </c>
      <c r="H87" s="19"/>
      <c r="I87" s="42" t="s">
        <v>67</v>
      </c>
      <c r="J87" s="19"/>
      <c r="K87" s="19"/>
      <c r="L87" s="19"/>
      <c r="M87" s="19"/>
      <c r="N87" s="19"/>
    </row>
    <row r="88" spans="1:14" ht="15.75" x14ac:dyDescent="0.25">
      <c r="A88" s="19"/>
      <c r="B88" s="30">
        <v>4</v>
      </c>
      <c r="C88" s="30">
        <f>IF(ISBLANK('Исходные данные'!C69),"",'Исходные данные'!C69)</f>
        <v>4.0400000000000002E-3</v>
      </c>
      <c r="D88" s="30">
        <v>14</v>
      </c>
      <c r="E88" s="30">
        <f>IF(ISBLANK('Исходные данные'!E69),"",'Исходные данные'!E69)</f>
        <v>3.81E-3</v>
      </c>
      <c r="F88" s="30">
        <v>24</v>
      </c>
      <c r="G88" s="30" t="str">
        <f>IF(ISBLANK('Исходные данные'!G69),"",'Исходные данные'!G69)</f>
        <v/>
      </c>
      <c r="H88" s="19"/>
      <c r="I88" s="42" t="s">
        <v>67</v>
      </c>
      <c r="J88" s="19"/>
      <c r="K88" s="19"/>
      <c r="L88" s="19"/>
      <c r="M88" s="19"/>
      <c r="N88" s="19"/>
    </row>
    <row r="89" spans="1:14" ht="15.75" x14ac:dyDescent="0.25">
      <c r="A89" s="19"/>
      <c r="B89" s="30">
        <v>5</v>
      </c>
      <c r="C89" s="30">
        <f>IF(ISBLANK('Исходные данные'!C70),"",'Исходные данные'!C70)</f>
        <v>4.1000000000000003E-3</v>
      </c>
      <c r="D89" s="30">
        <v>15</v>
      </c>
      <c r="E89" s="30">
        <f>IF(ISBLANK('Исходные данные'!E70),"",'Исходные данные'!E70)</f>
        <v>4.0899999999999999E-3</v>
      </c>
      <c r="F89" s="30">
        <v>25</v>
      </c>
      <c r="G89" s="30" t="str">
        <f>IF(ISBLANK('Исходные данные'!G70),"",'Исходные данные'!G70)</f>
        <v/>
      </c>
      <c r="H89" s="19"/>
      <c r="I89" s="42" t="s">
        <v>67</v>
      </c>
      <c r="J89" s="19"/>
      <c r="K89" s="19"/>
      <c r="L89" s="19"/>
      <c r="M89" s="19"/>
      <c r="N89" s="19"/>
    </row>
    <row r="90" spans="1:14" ht="15.75" x14ac:dyDescent="0.25">
      <c r="A90" s="19"/>
      <c r="B90" s="30">
        <v>6</v>
      </c>
      <c r="C90" s="30">
        <f>IF(ISBLANK('Исходные данные'!C71),"",'Исходные данные'!C71)</f>
        <v>3.7399999999999998E-3</v>
      </c>
      <c r="D90" s="30">
        <v>16</v>
      </c>
      <c r="E90" s="30">
        <f>IF(ISBLANK('Исходные данные'!E71),"",'Исходные данные'!E71)</f>
        <v>3.8600000000000001E-3</v>
      </c>
      <c r="F90" s="30">
        <v>26</v>
      </c>
      <c r="G90" s="30" t="str">
        <f>IF(ISBLANK('Исходные данные'!G71),"",'Исходные данные'!G71)</f>
        <v/>
      </c>
      <c r="H90" s="19"/>
      <c r="I90" s="42" t="s">
        <v>67</v>
      </c>
      <c r="J90" s="19"/>
      <c r="K90" s="19"/>
      <c r="L90" s="19"/>
      <c r="M90" s="19"/>
      <c r="N90" s="19"/>
    </row>
    <row r="91" spans="1:14" ht="15.75" x14ac:dyDescent="0.25">
      <c r="A91" s="19"/>
      <c r="B91" s="30">
        <v>7</v>
      </c>
      <c r="C91" s="30">
        <f>IF(ISBLANK('Исходные данные'!C72),"",'Исходные данные'!C72)</f>
        <v>3.7499999999999999E-3</v>
      </c>
      <c r="D91" s="30">
        <v>17</v>
      </c>
      <c r="E91" s="30" t="str">
        <f>IF(ISBLANK('Исходные данные'!E72),"",'Исходные данные'!E72)</f>
        <v/>
      </c>
      <c r="F91" s="30">
        <v>27</v>
      </c>
      <c r="G91" s="30" t="str">
        <f>IF(ISBLANK('Исходные данные'!G72),"",'Исходные данные'!G72)</f>
        <v/>
      </c>
      <c r="H91" s="19"/>
      <c r="I91" s="42" t="s">
        <v>67</v>
      </c>
      <c r="J91" s="19"/>
      <c r="K91" s="19"/>
      <c r="L91" s="19"/>
      <c r="M91" s="19"/>
      <c r="N91" s="19"/>
    </row>
    <row r="92" spans="1:14" ht="15.75" x14ac:dyDescent="0.25">
      <c r="A92" s="19"/>
      <c r="B92" s="30">
        <v>8</v>
      </c>
      <c r="C92" s="30">
        <f>IF(ISBLANK('Исходные данные'!C73),"",'Исходные данные'!C73)</f>
        <v>4.0699999999999998E-3</v>
      </c>
      <c r="D92" s="30">
        <v>18</v>
      </c>
      <c r="E92" s="30" t="str">
        <f>IF(ISBLANK('Исходные данные'!E73),"",'Исходные данные'!E73)</f>
        <v/>
      </c>
      <c r="F92" s="30">
        <v>28</v>
      </c>
      <c r="G92" s="30" t="str">
        <f>IF(ISBLANK('Исходные данные'!G73),"",'Исходные данные'!G73)</f>
        <v/>
      </c>
      <c r="H92" s="19"/>
      <c r="I92" s="42" t="s">
        <v>67</v>
      </c>
      <c r="J92" s="19"/>
      <c r="K92" s="19"/>
      <c r="L92" s="19"/>
      <c r="M92" s="19"/>
      <c r="N92" s="19"/>
    </row>
    <row r="93" spans="1:14" ht="15.75" x14ac:dyDescent="0.25">
      <c r="A93" s="19"/>
      <c r="B93" s="30">
        <v>9</v>
      </c>
      <c r="C93" s="30">
        <f>IF(ISBLANK('Исходные данные'!C74),"",'Исходные данные'!C74)</f>
        <v>3.81E-3</v>
      </c>
      <c r="D93" s="30">
        <v>19</v>
      </c>
      <c r="E93" s="30" t="str">
        <f>IF(ISBLANK('Исходные данные'!E74),"",'Исходные данные'!E74)</f>
        <v/>
      </c>
      <c r="F93" s="30">
        <v>29</v>
      </c>
      <c r="G93" s="30" t="str">
        <f>IF(ISBLANK('Исходные данные'!G74),"",'Исходные данные'!G74)</f>
        <v/>
      </c>
      <c r="H93" s="19"/>
      <c r="I93" s="42" t="s">
        <v>67</v>
      </c>
      <c r="J93" s="19"/>
      <c r="K93" s="19"/>
      <c r="L93" s="19"/>
      <c r="M93" s="19"/>
      <c r="N93" s="19"/>
    </row>
    <row r="94" spans="1:14" ht="15.75" x14ac:dyDescent="0.25">
      <c r="A94" s="19"/>
      <c r="B94" s="30">
        <v>10</v>
      </c>
      <c r="C94" s="30">
        <f>IF(ISBLANK('Исходные данные'!C75),"",'Исходные данные'!C75)</f>
        <v>4.1799999999999997E-3</v>
      </c>
      <c r="D94" s="30">
        <v>20</v>
      </c>
      <c r="E94" s="30" t="str">
        <f>IF(ISBLANK('Исходные данные'!E75),"",'Исходные данные'!E75)</f>
        <v/>
      </c>
      <c r="F94" s="30">
        <v>30</v>
      </c>
      <c r="G94" s="30" t="str">
        <f>IF(ISBLANK('Исходные данные'!G75),"",'Исходные данные'!G75)</f>
        <v/>
      </c>
      <c r="H94" s="19"/>
      <c r="I94" s="42" t="s">
        <v>67</v>
      </c>
      <c r="J94" s="19"/>
      <c r="K94" s="19"/>
      <c r="L94" s="19"/>
      <c r="M94" s="19"/>
      <c r="N94" s="19"/>
    </row>
    <row r="95" spans="1:14" ht="46.5" customHeight="1" x14ac:dyDescent="0.25">
      <c r="A95" s="41"/>
      <c r="B95" s="104" t="str">
        <f>CONCATENATE(IF(AND('Исходные данные'!E15&gt;='Исходные данные'!E8,'Исходные данные'!E15&lt;='Исходные данные'!G8),"","ВНИМАНИЕ!!! "),"Содержание определяемого компонента в образце для контроля ",IF(AND('Исходные данные'!E15&gt;='Исходные данные'!E8,'Исходные данные'!E15&lt;='Исходные данные'!G8),"находится","не находится")," в проверяемом диапазоне (поддиапазоне) методики измерений.")</f>
        <v>Содержание определяемого компонента в образце для контроля находится в проверяемом диапазоне (поддиапазоне) методики измерений.</v>
      </c>
      <c r="C95" s="105"/>
      <c r="D95" s="105"/>
      <c r="E95" s="105"/>
      <c r="F95" s="105"/>
      <c r="G95" s="105"/>
      <c r="H95" s="41"/>
      <c r="I95" s="42" t="s">
        <v>67</v>
      </c>
      <c r="J95" s="41"/>
      <c r="K95" s="41"/>
      <c r="L95" s="41"/>
      <c r="M95" s="41"/>
      <c r="N95" s="41"/>
    </row>
    <row r="96" spans="1:14" ht="15.75" x14ac:dyDescent="0.25">
      <c r="A96" s="19"/>
      <c r="B96" s="19"/>
      <c r="C96" s="19"/>
      <c r="D96" s="19"/>
      <c r="E96" s="19"/>
      <c r="F96" s="19"/>
      <c r="G96" s="19"/>
      <c r="H96" s="19"/>
      <c r="I96" s="42" t="s">
        <v>67</v>
      </c>
      <c r="J96" s="19"/>
      <c r="K96" s="19"/>
      <c r="L96" s="19"/>
      <c r="M96" s="19"/>
      <c r="N96" s="19"/>
    </row>
    <row r="97" spans="1:14" ht="18.75" x14ac:dyDescent="0.25">
      <c r="A97" s="19"/>
      <c r="B97" s="17" t="s">
        <v>41</v>
      </c>
      <c r="C97" s="38">
        <f>'Исходные данные'!E10^2-'Исходные данные'!E9^2/'Исходные данные'!E14</f>
        <v>22.680000000000003</v>
      </c>
      <c r="D97" s="17" t="s">
        <v>42</v>
      </c>
      <c r="E97" s="38">
        <f>SQRT(C97+'Исходные данные'!E9^2)</f>
        <v>5.96992462263972</v>
      </c>
      <c r="F97" s="17" t="s">
        <v>43</v>
      </c>
      <c r="G97" s="38">
        <f>('Исходные данные'!E9/(0.2*E97))^2</f>
        <v>9.0909090909090882</v>
      </c>
      <c r="H97" s="19"/>
      <c r="I97" s="42" t="s">
        <v>67</v>
      </c>
      <c r="J97" s="19"/>
      <c r="K97" s="19"/>
      <c r="L97" s="19"/>
      <c r="M97" s="19"/>
      <c r="N97" s="19"/>
    </row>
    <row r="98" spans="1:14" ht="15.75" x14ac:dyDescent="0.25">
      <c r="A98" s="19"/>
      <c r="D98" s="19"/>
      <c r="E98" s="19"/>
      <c r="F98" s="19"/>
      <c r="G98" s="19"/>
      <c r="H98" s="19"/>
      <c r="I98" s="42" t="s">
        <v>67</v>
      </c>
      <c r="J98" s="19"/>
      <c r="K98" s="19"/>
      <c r="L98" s="19"/>
      <c r="M98" s="19"/>
      <c r="N98" s="19"/>
    </row>
    <row r="99" spans="1:14" ht="41.25" customHeight="1" x14ac:dyDescent="0.25">
      <c r="A99" s="19"/>
      <c r="B99" s="86" t="str">
        <f>CONCATENATE("Необходимое количество параллельных определений n₁ ≥ ",ROUND(G97,0),", фактическое количество параллельных определений n₁ = ",COUNT(C85:C94,E85:E94,G85:G94),".")</f>
        <v>Необходимое количество параллельных определений n₁ ≥ 9, фактическое количество параллельных определений n₁ = 16.</v>
      </c>
      <c r="C99" s="85"/>
      <c r="D99" s="85"/>
      <c r="E99" s="85"/>
      <c r="F99" s="85"/>
      <c r="G99" s="85"/>
      <c r="H99" s="19"/>
      <c r="I99" s="42" t="s">
        <v>67</v>
      </c>
      <c r="J99" s="19"/>
      <c r="K99" s="19"/>
      <c r="L99" s="19"/>
      <c r="M99" s="19"/>
      <c r="N99" s="19"/>
    </row>
    <row r="100" spans="1:14" ht="15.75" x14ac:dyDescent="0.25">
      <c r="A100" s="19"/>
      <c r="B100" s="32"/>
      <c r="C100" s="32"/>
      <c r="D100" s="19"/>
      <c r="E100" s="19"/>
      <c r="F100" s="19"/>
      <c r="G100" s="19"/>
      <c r="H100" s="19"/>
      <c r="I100" s="42" t="s">
        <v>67</v>
      </c>
      <c r="J100" s="19"/>
      <c r="K100" s="19"/>
      <c r="L100" s="19"/>
      <c r="M100" s="19"/>
      <c r="N100" s="19"/>
    </row>
    <row r="101" spans="1:14" ht="18.75" x14ac:dyDescent="0.25">
      <c r="A101" s="17" t="s">
        <v>44</v>
      </c>
      <c r="B101" s="38">
        <f>IF(COUNT(C85:C94,E85:E94,G85:G94)&lt;2,"",AVERAGE(C85:C94,E85:E94,G85:G94))</f>
        <v>3.9143750000000012E-3</v>
      </c>
      <c r="C101" s="17" t="s">
        <v>45</v>
      </c>
      <c r="D101" s="38">
        <f>IF(COUNT(C85:C94,E85:E94,G85:G94)&lt;2,"",IF('Исходные данные'!E13="в относительных единицах (%)",100*(B101-'Исходные данные'!E15)/'Исходные данные'!E15,B101-'Исходные данные'!E15))</f>
        <v>-2.1406249999999725</v>
      </c>
      <c r="E101" s="17" t="s">
        <v>46</v>
      </c>
      <c r="F101" s="38">
        <f>IF(COUNT(C85:C94,E85:E94,G85:G94)&lt;2,"",IF('Исходные данные'!E13="в относительных единицах (%)",100*_xlfn.STDEV.S(C85:C94,E85:E94,G85:G94)/'Исходные данные'!E15,_xlfn.STDEV.S(C85:C94,E85:E94,G85:G94)))</f>
        <v>4.2582946019112695</v>
      </c>
      <c r="G101" s="17" t="s">
        <v>47</v>
      </c>
      <c r="H101" s="38">
        <f>IF(COUNT(C85:C94,E85:E94,G85:G94)&lt;2,"",SQRT('Исходные данные'!E11^2-'Исходные данные'!E9^2/'Исходные данные'!E14+F101^2/COUNT(C85:C94,E85:E94,G85:G94)))</f>
        <v>4.8798890414938398</v>
      </c>
      <c r="I101" s="42" t="s">
        <v>67</v>
      </c>
      <c r="J101" s="19"/>
      <c r="K101" s="19"/>
      <c r="L101" s="19"/>
      <c r="M101" s="19"/>
      <c r="N101" s="19"/>
    </row>
    <row r="102" spans="1:14" ht="15.75" x14ac:dyDescent="0.25">
      <c r="A102" s="19"/>
      <c r="D102" s="19"/>
      <c r="E102" s="19"/>
      <c r="F102" s="19"/>
      <c r="G102" s="19"/>
      <c r="H102" s="19"/>
      <c r="I102" s="42" t="s">
        <v>67</v>
      </c>
      <c r="J102" s="19"/>
      <c r="K102" s="19"/>
      <c r="L102" s="19"/>
      <c r="M102" s="19"/>
      <c r="N102" s="19"/>
    </row>
    <row r="103" spans="1:14" ht="18.75" x14ac:dyDescent="0.25">
      <c r="A103" s="19"/>
      <c r="C103" s="107" t="s">
        <v>48</v>
      </c>
      <c r="D103" s="108"/>
      <c r="E103" s="88" t="str">
        <f>IF(COUNT(C85:C94,E85:E94,G85:G94)&lt;2,"",IF(ABS(D101)&lt;=2*H101,"выполняется","не выполняется"))</f>
        <v>выполняется</v>
      </c>
      <c r="F103" s="106"/>
      <c r="G103" s="19"/>
      <c r="H103" s="19"/>
      <c r="I103" s="42" t="s">
        <v>67</v>
      </c>
      <c r="J103" s="19"/>
      <c r="K103" s="19"/>
      <c r="L103" s="19"/>
      <c r="M103" s="19"/>
      <c r="N103" s="19"/>
    </row>
    <row r="104" spans="1:14" ht="15.75" x14ac:dyDescent="0.25">
      <c r="A104" s="19"/>
      <c r="D104" s="19"/>
      <c r="E104" s="19"/>
      <c r="F104" s="19"/>
      <c r="G104" s="19"/>
      <c r="H104" s="19"/>
      <c r="I104" s="42" t="s">
        <v>67</v>
      </c>
      <c r="J104" s="19"/>
      <c r="K104" s="19"/>
      <c r="L104" s="19"/>
      <c r="M104" s="19"/>
      <c r="N104" s="19"/>
    </row>
    <row r="105" spans="1:14" ht="30.75" customHeight="1" x14ac:dyDescent="0.25">
      <c r="A105" s="86" t="str">
        <f>IF(COUNT(C85:C94,E85:E94,G85:G94)&lt;ROUND(G97,0),"Вывод: недостаточное количество определений для вывода о соответствии лабораторного смещения требованиям методики количественного химического анализа.",IF(E103="выполняется","Вывод: лабораторное смещение соответствует требованиям методики количественного химического анализа.",IF(E103="не выполняется","Вывод: лабораторное смещение не соответствует требованиям методики количественного химического анализа.","Вывод: недостаточное количество определений для вывода о соответствии лабораторного смещения требованиям методики количественного химического анализа.")))</f>
        <v>Вывод: лабораторное смещение соответствует требованиям методики количественного химического анализа.</v>
      </c>
      <c r="B105" s="87"/>
      <c r="C105" s="87"/>
      <c r="D105" s="87"/>
      <c r="E105" s="87"/>
      <c r="F105" s="87"/>
      <c r="G105" s="87"/>
      <c r="H105" s="87"/>
      <c r="I105" s="42" t="s">
        <v>67</v>
      </c>
      <c r="J105" s="19"/>
      <c r="K105" s="19"/>
      <c r="L105" s="19"/>
      <c r="M105" s="19"/>
      <c r="N105" s="19"/>
    </row>
    <row r="106" spans="1:14" ht="15.75" x14ac:dyDescent="0.25">
      <c r="A106" s="19"/>
      <c r="B106" s="19"/>
      <c r="C106" s="19"/>
      <c r="D106" s="19"/>
      <c r="E106" s="19"/>
      <c r="F106" s="19"/>
      <c r="G106" s="19"/>
      <c r="H106" s="19"/>
      <c r="I106" s="42" t="s">
        <v>67</v>
      </c>
      <c r="J106" s="19"/>
      <c r="K106" s="19"/>
      <c r="L106" s="19"/>
      <c r="M106" s="19"/>
      <c r="N106" s="19"/>
    </row>
    <row r="107" spans="1:14" ht="48.75" customHeight="1" x14ac:dyDescent="0.25">
      <c r="A107" s="81" t="str">
        <f>IF(OR(AND(OR('Исходные данные'!E17="одна рабочая проба",'Исходные данные'!E17="образец для контроля"),COUNT(C28:C37,E28:E37,G28:G37)&gt;=16,COUNT(C85:C94,E85:E94,G85:G94)&gt;=ROUND(G97,0)),AND('Исходные данные'!E17="несколько рабочих проб",L70&gt;=15,COUNT(C85:C94,E85:E94,G85:G94)&gt;=ROUND(G97,0))),IF('Исходные данные'!E17="несколько рабочих проб",IF(AND(F78="выполняется",E103="выполняется"),"Общий вывод: Реализуемая в лаборатории методика (метод) количественного химического анализа соответствует требованиям нормативного документа на эту методику, методика используется в лаборатории правильно.","Общий вывод: Реализуемая в лаборатории методика (метод) количественного химического анализа не соответствует требованиям нормативного документа на эту методику, методика используется в лаборатории неправильно."),IF(AND(F44="выполняется",E103="выполняется"),"Общий вывод: Реализуемая в лаборатории методика (метод) количественного химического анализа соответствует требованиям нормативного документа на эту методику, методика используется в лаборатории правильно.","Общий вывод: Реализуемая в лаборатории методика (метод) количественного химического анализа не соответствует требованиям нормативного документа на эту методику, методика используется в лаборатории неправильно.")),"Для вывода о соответствии реализуемой в лаборатории методики (метода) количественного химического анализа требованиям нормативного документа на эту методику недостаточно экспериментальных данных.")</f>
        <v>Общий вывод: Реализуемая в лаборатории методика (метод) количественного химического анализа соответствует требованиям нормативного документа на эту методику, методика используется в лаборатории правильно.</v>
      </c>
      <c r="B107" s="82"/>
      <c r="C107" s="82"/>
      <c r="D107" s="82"/>
      <c r="E107" s="82"/>
      <c r="F107" s="82"/>
      <c r="G107" s="82"/>
      <c r="H107" s="82"/>
      <c r="I107" s="42" t="s">
        <v>67</v>
      </c>
      <c r="J107" s="19"/>
      <c r="K107" s="19"/>
      <c r="L107" s="19"/>
      <c r="M107" s="19"/>
      <c r="N107" s="19"/>
    </row>
    <row r="108" spans="1:14" ht="15.75" x14ac:dyDescent="0.25">
      <c r="A108" s="19"/>
      <c r="B108" s="19"/>
      <c r="C108" s="19"/>
      <c r="D108" s="19"/>
      <c r="E108" s="19"/>
      <c r="F108" s="19"/>
      <c r="G108" s="19"/>
      <c r="H108" s="19"/>
      <c r="I108" s="42" t="s">
        <v>67</v>
      </c>
      <c r="J108" s="19"/>
      <c r="K108" s="19"/>
      <c r="L108" s="19"/>
      <c r="M108" s="19"/>
      <c r="N108" s="19"/>
    </row>
    <row r="109" spans="1:14" ht="15.75" x14ac:dyDescent="0.25">
      <c r="A109" s="19"/>
      <c r="B109" s="19"/>
      <c r="C109" s="19"/>
      <c r="D109" s="19"/>
      <c r="E109" s="19"/>
      <c r="F109" s="19"/>
      <c r="G109" s="19"/>
      <c r="H109" s="19"/>
      <c r="I109" s="42" t="s">
        <v>67</v>
      </c>
      <c r="J109" s="19"/>
      <c r="K109" s="19"/>
      <c r="L109" s="19"/>
      <c r="M109" s="19"/>
      <c r="N109" s="19"/>
    </row>
    <row r="110" spans="1:14" ht="15.75" x14ac:dyDescent="0.25">
      <c r="A110" s="86" t="str">
        <f>'Исходные данные'!E21</f>
        <v>Менеджер по качеству</v>
      </c>
      <c r="B110" s="85"/>
      <c r="C110" s="85"/>
      <c r="D110" s="85"/>
      <c r="E110" s="42"/>
      <c r="F110" s="102" t="str">
        <f>'Исходные данные'!E22</f>
        <v>П.П. Иванов</v>
      </c>
      <c r="G110" s="90"/>
      <c r="H110" s="90"/>
      <c r="I110" s="42" t="s">
        <v>67</v>
      </c>
      <c r="J110" s="42"/>
      <c r="K110" s="42"/>
      <c r="L110" s="42"/>
      <c r="M110" s="42"/>
      <c r="N110" s="42"/>
    </row>
    <row r="111" spans="1:14" ht="15.75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1:14" ht="15.75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.75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.75" x14ac:dyDescent="0.25">
      <c r="A114" s="21" t="s">
        <v>13</v>
      </c>
      <c r="B114" s="21" t="s">
        <v>14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.75" x14ac:dyDescent="0.25">
      <c r="A115" s="21">
        <v>4</v>
      </c>
      <c r="B115" s="21">
        <v>1.54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.75" x14ac:dyDescent="0.25">
      <c r="A116" s="21">
        <v>5</v>
      </c>
      <c r="B116" s="21">
        <v>1.49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.75" x14ac:dyDescent="0.25">
      <c r="A117" s="21">
        <v>6</v>
      </c>
      <c r="B117" s="21">
        <v>1.45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.75" x14ac:dyDescent="0.25">
      <c r="A118" s="21">
        <v>7</v>
      </c>
      <c r="B118" s="21">
        <v>1.42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.75" x14ac:dyDescent="0.25">
      <c r="A119" s="21">
        <v>8</v>
      </c>
      <c r="B119" s="21">
        <v>1.39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.75" x14ac:dyDescent="0.25">
      <c r="A120" s="21">
        <v>9</v>
      </c>
      <c r="B120" s="21">
        <v>1.37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.75" x14ac:dyDescent="0.25">
      <c r="A121" s="21">
        <v>10</v>
      </c>
      <c r="B121" s="21">
        <v>1.35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.75" x14ac:dyDescent="0.25">
      <c r="A122" s="21">
        <v>11</v>
      </c>
      <c r="B122" s="21">
        <v>1.34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5.75" x14ac:dyDescent="0.25">
      <c r="A123" s="21">
        <v>12</v>
      </c>
      <c r="B123" s="21">
        <v>1.32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.75" x14ac:dyDescent="0.25">
      <c r="A124" s="21">
        <v>13</v>
      </c>
      <c r="B124" s="21">
        <v>1.31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15.75" x14ac:dyDescent="0.25">
      <c r="A125" s="21">
        <v>14</v>
      </c>
      <c r="B125" s="21">
        <v>1.3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.75" x14ac:dyDescent="0.25">
      <c r="A126" s="21">
        <v>15</v>
      </c>
      <c r="B126" s="21">
        <v>1.29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5.75" x14ac:dyDescent="0.25">
      <c r="A127" s="21">
        <v>16</v>
      </c>
      <c r="B127" s="21">
        <v>1.28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5.75" x14ac:dyDescent="0.25">
      <c r="A128" s="21">
        <v>17</v>
      </c>
      <c r="B128" s="21">
        <v>1.27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15.75" x14ac:dyDescent="0.25">
      <c r="A129" s="21">
        <v>18</v>
      </c>
      <c r="B129" s="21">
        <v>1.27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5.75" x14ac:dyDescent="0.25">
      <c r="A130" s="21">
        <v>19</v>
      </c>
      <c r="B130" s="21">
        <v>1.26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15.75" x14ac:dyDescent="0.25">
      <c r="A131" s="21">
        <v>20</v>
      </c>
      <c r="B131" s="21">
        <v>1.25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15.75" x14ac:dyDescent="0.25">
      <c r="A132" s="21">
        <v>30</v>
      </c>
      <c r="B132" s="21">
        <v>1.21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5.75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5.75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5.75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5.75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5.75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5.75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5.75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5.75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.75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.75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</sheetData>
  <sheetProtection sheet="1" objects="1" scenarios="1" formatCells="0" formatColumns="0" formatRows="0" autoFilter="0"/>
  <autoFilter ref="A1:I11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5">
    <mergeCell ref="A110:D110"/>
    <mergeCell ref="F110:H110"/>
    <mergeCell ref="A105:H105"/>
    <mergeCell ref="A73:H73"/>
    <mergeCell ref="B95:G95"/>
    <mergeCell ref="B99:G99"/>
    <mergeCell ref="E103:F103"/>
    <mergeCell ref="C103:D103"/>
    <mergeCell ref="B77:C77"/>
    <mergeCell ref="B78:C78"/>
    <mergeCell ref="D77:E77"/>
    <mergeCell ref="D78:E78"/>
    <mergeCell ref="F77:G77"/>
    <mergeCell ref="F78:G78"/>
    <mergeCell ref="A82:H82"/>
    <mergeCell ref="A83:H83"/>
    <mergeCell ref="A80:H80"/>
    <mergeCell ref="A49:H49"/>
    <mergeCell ref="A1:H1"/>
    <mergeCell ref="A22:H22"/>
    <mergeCell ref="A19:H19"/>
    <mergeCell ref="A20:H20"/>
    <mergeCell ref="A21:H21"/>
    <mergeCell ref="A17:H17"/>
    <mergeCell ref="A18:H18"/>
    <mergeCell ref="A8:H8"/>
    <mergeCell ref="A9:H9"/>
    <mergeCell ref="A10:H10"/>
    <mergeCell ref="A11:H11"/>
    <mergeCell ref="E4:H4"/>
    <mergeCell ref="E3:H3"/>
    <mergeCell ref="E6:H6"/>
    <mergeCell ref="E5:H5"/>
    <mergeCell ref="B44:C44"/>
    <mergeCell ref="D44:E44"/>
    <mergeCell ref="F44:G44"/>
    <mergeCell ref="A48:H48"/>
    <mergeCell ref="B38:G38"/>
    <mergeCell ref="A46:H46"/>
    <mergeCell ref="A107:H107"/>
    <mergeCell ref="A25:H25"/>
    <mergeCell ref="A12:H12"/>
    <mergeCell ref="A14:H14"/>
    <mergeCell ref="A15:H15"/>
    <mergeCell ref="A16:H16"/>
    <mergeCell ref="A13:H13"/>
    <mergeCell ref="B39:G39"/>
    <mergeCell ref="B40:G40"/>
    <mergeCell ref="A24:H24"/>
    <mergeCell ref="A74:H74"/>
    <mergeCell ref="A75:H75"/>
    <mergeCell ref="B41:G41"/>
    <mergeCell ref="B43:C43"/>
    <mergeCell ref="D43:E43"/>
    <mergeCell ref="F43:G43"/>
  </mergeCells>
  <dataValidations disablePrompts="1" count="1">
    <dataValidation type="list" allowBlank="1" showInputMessage="1" showErrorMessage="1" sqref="E21:H22">
      <formula1>"одна рабочая проба,несколько рабочих проб,образец для контроля"</formula1>
    </dataValidation>
  </dataValidations>
  <pageMargins left="0.78740157480314965" right="0.78740157480314965" top="0.59055118110236227" bottom="0.3937007874015748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2:L149"/>
  <sheetViews>
    <sheetView topLeftCell="A124" workbookViewId="0">
      <selection activeCell="I147" sqref="I147"/>
    </sheetView>
  </sheetViews>
  <sheetFormatPr defaultRowHeight="15" x14ac:dyDescent="0.25"/>
  <sheetData>
    <row r="132" spans="3:12" x14ac:dyDescent="0.25"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3:12" x14ac:dyDescent="0.25"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3:12" x14ac:dyDescent="0.25"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3:12" x14ac:dyDescent="0.25"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3:12" x14ac:dyDescent="0.25"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3:12" x14ac:dyDescent="0.25"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3:12" x14ac:dyDescent="0.25"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3:12" x14ac:dyDescent="0.25"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3:12" x14ac:dyDescent="0.25"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3:12" x14ac:dyDescent="0.25"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3:12" x14ac:dyDescent="0.25"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3:12" x14ac:dyDescent="0.25"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3:12" x14ac:dyDescent="0.25">
      <c r="C144" s="111"/>
      <c r="D144" s="111"/>
      <c r="E144" s="112"/>
      <c r="F144" s="112"/>
      <c r="G144" s="112"/>
      <c r="H144" s="111"/>
      <c r="I144" s="111"/>
      <c r="J144" s="111"/>
      <c r="K144" s="111"/>
      <c r="L144" s="111"/>
    </row>
    <row r="145" spans="3:12" x14ac:dyDescent="0.25">
      <c r="C145" s="111"/>
      <c r="D145" s="111"/>
      <c r="E145" s="112"/>
      <c r="F145" s="113" t="s">
        <v>70</v>
      </c>
      <c r="G145" s="112"/>
      <c r="H145" s="111"/>
      <c r="I145" s="111"/>
      <c r="J145" s="111"/>
      <c r="K145" s="111"/>
      <c r="L145" s="111"/>
    </row>
    <row r="146" spans="3:12" x14ac:dyDescent="0.25">
      <c r="C146" s="111"/>
      <c r="D146" s="111"/>
      <c r="E146" s="112"/>
      <c r="F146" s="112"/>
      <c r="G146" s="112"/>
      <c r="H146" s="111"/>
      <c r="I146" s="111"/>
      <c r="J146" s="111"/>
      <c r="K146" s="111"/>
      <c r="L146" s="111"/>
    </row>
    <row r="147" spans="3:12" x14ac:dyDescent="0.25"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3:12" x14ac:dyDescent="0.25"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3:12" x14ac:dyDescent="0.25"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</sheetData>
  <hyperlinks>
    <hyperlink ref="F145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Исходные данные</vt:lpstr>
      <vt:lpstr>Подтверждение соответствия</vt:lpstr>
      <vt:lpstr>1</vt:lpstr>
      <vt:lpstr>'Исходные данные'!Область_печати</vt:lpstr>
      <vt:lpstr>'Подтверждение соответствия'!Область_печати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2017-10-09T16:23:52Z</dcterms:modified>
</cp:coreProperties>
</file>