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23.wmf" ContentType="image/x-wmf"/>
  <Override PartName="/xl/media/image24.wmf" ContentType="image/x-wmf"/>
  <Override PartName="/xl/media/image25.wmf" ContentType="image/x-wmf"/>
  <Override PartName="/xl/media/image30.wmf" ContentType="image/x-wmf"/>
  <Override PartName="/xl/media/image26.wmf" ContentType="image/x-wmf"/>
  <Override PartName="/xl/media/image31.wmf" ContentType="image/x-wmf"/>
  <Override PartName="/xl/media/image27.wmf" ContentType="image/x-wmf"/>
  <Override PartName="/xl/media/image28.wmf" ContentType="image/x-wmf"/>
  <Override PartName="/xl/media/image29.wmf" ContentType="image/x-wmf"/>
  <Override PartName="/xl/media/image32.wmf" ContentType="image/x-wmf"/>
  <Override PartName="/xl/media/image33.wmf" ContentType="image/x-wmf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<sst xmlns="http://schemas.openxmlformats.org/spreadsheetml/2006/main" count="135" uniqueCount="87">
  <si>
    <t xml:space="preserve">Расчет градуировки методом наименьших квадратов и расчет неопределенности согласно Р 50.2.028-2003</t>
  </si>
  <si>
    <t xml:space="preserve">Неопределенность выходной величины (погрешность прибора)</t>
  </si>
  <si>
    <t xml:space="preserve">U(y)</t>
  </si>
  <si>
    <t xml:space="preserve">Неопределенность градуировочных смесей</t>
  </si>
  <si>
    <t xml:space="preserve">Номер раствора</t>
  </si>
  <si>
    <t xml:space="preserve">Концентрация</t>
  </si>
  <si>
    <r>
      <rPr>
        <sz val="12"/>
        <rFont val="Arial"/>
        <family val="2"/>
        <charset val="204"/>
      </rPr>
      <t xml:space="preserve">Относительная Неопределенность u</t>
    </r>
    <r>
      <rPr>
        <b val="true"/>
        <sz val="12"/>
        <rFont val="Times New Roman"/>
        <family val="1"/>
        <charset val="204"/>
      </rPr>
      <t xml:space="preserve"> (х)=</t>
    </r>
    <r>
      <rPr>
        <sz val="12"/>
        <rFont val="Times New Roman"/>
        <family val="1"/>
        <charset val="204"/>
      </rPr>
      <t xml:space="preserve">x*δ</t>
    </r>
    <r>
      <rPr>
        <sz val="12"/>
        <rFont val="Arial"/>
        <family val="2"/>
        <charset val="204"/>
      </rPr>
      <t xml:space="preserve">(x)/√3</t>
    </r>
  </si>
  <si>
    <r>
      <rPr>
        <sz val="12"/>
        <rFont val="Arial"/>
        <family val="2"/>
        <charset val="204"/>
      </rPr>
      <t xml:space="preserve">Абсолютная неопределенность u</t>
    </r>
    <r>
      <rPr>
        <b val="true"/>
        <sz val="12"/>
        <rFont val="Times New Roman"/>
        <family val="1"/>
        <charset val="204"/>
      </rPr>
      <t xml:space="preserve"> (х)=</t>
    </r>
    <r>
      <rPr>
        <sz val="12"/>
        <rFont val="Arial"/>
        <family val="2"/>
        <charset val="204"/>
      </rPr>
      <t xml:space="preserve">θ(x)/√3</t>
    </r>
  </si>
  <si>
    <t xml:space="preserve">Sx11</t>
  </si>
  <si>
    <t xml:space="preserve">Sx10</t>
  </si>
  <si>
    <t xml:space="preserve">Sx9</t>
  </si>
  <si>
    <t xml:space="preserve">Sx8</t>
  </si>
  <si>
    <t xml:space="preserve">Sx7</t>
  </si>
  <si>
    <t xml:space="preserve">Sx6</t>
  </si>
  <si>
    <t xml:space="preserve">Sx5</t>
  </si>
  <si>
    <t xml:space="preserve">Sx4</t>
  </si>
  <si>
    <t xml:space="preserve">Sx3</t>
  </si>
  <si>
    <t xml:space="preserve">Sx2</t>
  </si>
  <si>
    <t xml:space="preserve">Sx1</t>
  </si>
  <si>
    <t xml:space="preserve">Количество точек N</t>
  </si>
  <si>
    <t xml:space="preserve">Количество повторов в точке n</t>
  </si>
  <si>
    <t xml:space="preserve">Выходная величина</t>
  </si>
  <si>
    <t xml:space="preserve">Градуировочная смесь</t>
  </si>
  <si>
    <t xml:space="preserve">1 измерение</t>
  </si>
  <si>
    <t xml:space="preserve">2 измерение</t>
  </si>
  <si>
    <t xml:space="preserve">3 измерение</t>
  </si>
  <si>
    <t xml:space="preserve">4 измерение</t>
  </si>
  <si>
    <t xml:space="preserve">5 измерение</t>
  </si>
  <si>
    <t xml:space="preserve">6 измерение</t>
  </si>
  <si>
    <t xml:space="preserve">7 измерение</t>
  </si>
  <si>
    <t xml:space="preserve">Среднее значение</t>
  </si>
  <si>
    <t xml:space="preserve">X</t>
  </si>
  <si>
    <t xml:space="preserve">Y1</t>
  </si>
  <si>
    <t xml:space="preserve">Y2</t>
  </si>
  <si>
    <t xml:space="preserve">Y3</t>
  </si>
  <si>
    <t xml:space="preserve">Y4</t>
  </si>
  <si>
    <t xml:space="preserve">Y5</t>
  </si>
  <si>
    <t xml:space="preserve">Y6</t>
  </si>
  <si>
    <t xml:space="preserve">Y7</t>
  </si>
  <si>
    <t xml:space="preserve">Y</t>
  </si>
  <si>
    <t xml:space="preserve"> Средняя концентрация X</t>
  </si>
  <si>
    <t xml:space="preserve">Средняя величина Y</t>
  </si>
  <si>
    <t xml:space="preserve">Среднее значение выходной величины</t>
  </si>
  <si>
    <t xml:space="preserve">(Xi-Xср)</t>
  </si>
  <si>
    <t xml:space="preserve">(Yi-Yср)</t>
  </si>
  <si>
    <t xml:space="preserve">(Xi-Xср)^2</t>
  </si>
  <si>
    <t xml:space="preserve">(Yi-Yср)(Xi-Xср)</t>
  </si>
  <si>
    <t xml:space="preserve">Абсолютная неопределенность</t>
  </si>
  <si>
    <r>
      <rPr>
        <sz val="12"/>
        <rFont val="Arial"/>
        <family val="2"/>
        <charset val="204"/>
      </rPr>
      <t xml:space="preserve">u</t>
    </r>
    <r>
      <rPr>
        <b val="true"/>
        <sz val="12"/>
        <rFont val="Times New Roman"/>
        <family val="1"/>
        <charset val="204"/>
      </rPr>
      <t xml:space="preserve"> (х)*</t>
    </r>
    <r>
      <rPr>
        <b val="true"/>
        <sz val="10"/>
        <rFont val="Arial"/>
        <family val="2"/>
        <charset val="204"/>
      </rPr>
      <t xml:space="preserve">(Xi-Xср)</t>
    </r>
  </si>
  <si>
    <t xml:space="preserve">Сумма ∑</t>
  </si>
  <si>
    <t xml:space="preserve">Вписываем свободный член</t>
  </si>
  <si>
    <t xml:space="preserve">b (коэффициент)</t>
  </si>
  <si>
    <t xml:space="preserve">a0 (свободный член)</t>
  </si>
  <si>
    <t xml:space="preserve">R2</t>
  </si>
  <si>
    <t xml:space="preserve">Предсказанное значение</t>
  </si>
  <si>
    <t xml:space="preserve">yi</t>
  </si>
  <si>
    <t xml:space="preserve">(Yi-yi)^2</t>
  </si>
  <si>
    <t xml:space="preserve">(Xi)^2</t>
  </si>
  <si>
    <t xml:space="preserve">Sxy^2</t>
  </si>
  <si>
    <t xml:space="preserve">Если принять, что прямая проходит через 0, то степени свободы N-1, если нет, то N-2</t>
  </si>
  <si>
    <t xml:space="preserve">Sxy</t>
  </si>
  <si>
    <t xml:space="preserve">Sb^2</t>
  </si>
  <si>
    <t xml:space="preserve">Sb</t>
  </si>
  <si>
    <t xml:space="preserve">Sa^2</t>
  </si>
  <si>
    <t xml:space="preserve">Sa</t>
  </si>
  <si>
    <t xml:space="preserve">Надо сравнить со свободным членом!!! если больше чем на порядок, то убираем свободный член!!!</t>
  </si>
  <si>
    <t xml:space="preserve">сравниваем с ошибкой свободного члена</t>
  </si>
  <si>
    <t xml:space="preserve">Предел обнаружения</t>
  </si>
  <si>
    <t xml:space="preserve">Предел количественного определения</t>
  </si>
  <si>
    <t xml:space="preserve">Вычисление ошибки градуировки полученного значения (согласно метода наименьших квадратов из стандартного отклонения остатков по ГОСТ Р ИСО 11095-2007)</t>
  </si>
  <si>
    <t xml:space="preserve">Полученное значение Y</t>
  </si>
  <si>
    <t xml:space="preserve">Проба</t>
  </si>
  <si>
    <t xml:space="preserve">Рассчитанное Х</t>
  </si>
  <si>
    <t xml:space="preserve">Среднее Y</t>
  </si>
  <si>
    <t xml:space="preserve">((Y-Yср)^2)</t>
  </si>
  <si>
    <t xml:space="preserve">1/N</t>
  </si>
  <si>
    <t xml:space="preserve">1/n</t>
  </si>
  <si>
    <t xml:space="preserve">b^2(сумма((Xi-Xср)^2))</t>
  </si>
  <si>
    <t xml:space="preserve">Sx^2</t>
  </si>
  <si>
    <t xml:space="preserve">Sx</t>
  </si>
  <si>
    <t xml:space="preserve">средняя неопределенность</t>
  </si>
  <si>
    <t xml:space="preserve">Расширенная неопределенность при К=2</t>
  </si>
  <si>
    <t xml:space="preserve">Расширенная неопределенность при К=3</t>
  </si>
  <si>
    <t xml:space="preserve">x</t>
  </si>
  <si>
    <t xml:space="preserve">Расчет неопределенности исходя из неопределенности растворов градуировки. Скоррелированных между собой и зависимых от значения концентрации раствора (согласно Р 50.2.028-2003, вариант 4)</t>
  </si>
  <si>
    <t xml:space="preserve">(X-Xср)</t>
  </si>
  <si>
    <t xml:space="preserve">(X-Xср)^2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</si>
</sst>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General"/>
    <numFmt numFmtId="166" formatCode="#,##0.00"/>
    <numFmt numFmtId="167" formatCode="#,##0.0000"/>
    <numFmt numFmtId="168" formatCode="#,##0.000000"/>
  </numFmts>
  <fonts count="12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2"/>
      <name val="Arial"/>
      <family val="2"/>
      <charset val="204"/>
    </font>
    <font>
      <sz val="14"/>
      <name val="Arial"/>
      <family val="2"/>
      <charset val="204"/>
    </font>
    <font>
      <b val="true"/>
      <sz val="10"/>
      <name val="Arial"/>
      <family val="2"/>
      <charset val="204"/>
    </font>
    <font>
      <sz val="12"/>
      <name val="Arial"/>
      <family val="2"/>
      <charset val="204"/>
    </font>
    <font>
      <b val="true"/>
      <sz val="12"/>
      <name val="Times New Roman"/>
      <family val="1"/>
      <charset val="204"/>
    </font>
    <font>
      <sz val="12"/>
      <name val="Times New Roman"/>
      <family val="1"/>
      <charset val="204"/>
    </font>
    <font>
      <b val="true"/>
      <sz val="14"/>
      <name val="Arial"/>
      <family val="2"/>
      <charset val="204"/>
    </font>
    <font>
      <sz val="12"/>
      <name val="Times New Roman"/>
      <family val="0"/>
      <charset val="204"/>
    </font>
  </fonts>
  <fills count="6">
    <fill>
      <patternFill patternType="none"/>
    </fill>
    <fill>
      <patternFill patternType="gray125"/>
    </fill>
    <fill>
      <patternFill patternType="solid">
        <fgColor rgb="FF00A933"/>
        <bgColor rgb="FF008000"/>
      </patternFill>
    </fill>
    <fill>
      <patternFill patternType="solid">
        <fgColor rgb="FFFFFF00"/>
        <bgColor rgb="FFFFFF00"/>
      </patternFill>
    </fill>
    <fill>
      <patternFill patternType="solid">
        <fgColor rgb="FF81D41A"/>
        <bgColor rgb="FF969696"/>
      </patternFill>
    </fill>
    <fill>
      <patternFill patternType="solid">
        <fgColor rgb="FFFFFF6D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4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1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6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6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4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6D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23.wmf"/><Relationship Id="rId2" Type="http://schemas.openxmlformats.org/officeDocument/2006/relationships/image" Target="../media/image24.wmf"/><Relationship Id="rId3" Type="http://schemas.openxmlformats.org/officeDocument/2006/relationships/image" Target="../media/image25.wmf"/><Relationship Id="rId4" Type="http://schemas.openxmlformats.org/officeDocument/2006/relationships/image" Target="../media/image26.wmf"/><Relationship Id="rId5" Type="http://schemas.openxmlformats.org/officeDocument/2006/relationships/image" Target="../media/image27.wmf"/><Relationship Id="rId6" Type="http://schemas.openxmlformats.org/officeDocument/2006/relationships/image" Target="../media/image28.wmf"/><Relationship Id="rId7" Type="http://schemas.openxmlformats.org/officeDocument/2006/relationships/image" Target="../media/image29.wmf"/><Relationship Id="rId8" Type="http://schemas.openxmlformats.org/officeDocument/2006/relationships/image" Target="../media/image30.wmf"/><Relationship Id="rId9" Type="http://schemas.openxmlformats.org/officeDocument/2006/relationships/image" Target="../media/image31.wmf"/><Relationship Id="rId10" Type="http://schemas.openxmlformats.org/officeDocument/2006/relationships/image" Target="../media/image32.wmf"/><Relationship Id="rId11" Type="http://schemas.openxmlformats.org/officeDocument/2006/relationships/image" Target="../media/image33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443880</xdr:colOff>
      <xdr:row>59</xdr:row>
      <xdr:rowOff>56880</xdr:rowOff>
    </xdr:from>
    <xdr:to>
      <xdr:col>10</xdr:col>
      <xdr:colOff>675720</xdr:colOff>
      <xdr:row>62</xdr:row>
      <xdr:rowOff>64440</xdr:rowOff>
    </xdr:to>
    <xdr:pic>
      <xdr:nvPicPr>
        <xdr:cNvPr id="0" name="Изображение 7" descr=""/>
        <xdr:cNvPicPr/>
      </xdr:nvPicPr>
      <xdr:blipFill>
        <a:blip r:embed="rId1"/>
        <a:stretch/>
      </xdr:blipFill>
      <xdr:spPr>
        <a:xfrm>
          <a:off x="10447560" y="11283480"/>
          <a:ext cx="1305000" cy="4953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39960</xdr:colOff>
      <xdr:row>115</xdr:row>
      <xdr:rowOff>61920</xdr:rowOff>
    </xdr:from>
    <xdr:to>
      <xdr:col>8</xdr:col>
      <xdr:colOff>165960</xdr:colOff>
      <xdr:row>128</xdr:row>
      <xdr:rowOff>58320</xdr:rowOff>
    </xdr:to>
    <xdr:pic>
      <xdr:nvPicPr>
        <xdr:cNvPr id="1" name="Изображение 4" descr=""/>
        <xdr:cNvPicPr/>
      </xdr:nvPicPr>
      <xdr:blipFill>
        <a:blip r:embed="rId2"/>
        <a:stretch/>
      </xdr:blipFill>
      <xdr:spPr>
        <a:xfrm>
          <a:off x="39960" y="23208120"/>
          <a:ext cx="9111240" cy="2137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90720</xdr:colOff>
      <xdr:row>116</xdr:row>
      <xdr:rowOff>64800</xdr:rowOff>
    </xdr:from>
    <xdr:to>
      <xdr:col>10</xdr:col>
      <xdr:colOff>494280</xdr:colOff>
      <xdr:row>122</xdr:row>
      <xdr:rowOff>147240</xdr:rowOff>
    </xdr:to>
    <xdr:pic>
      <xdr:nvPicPr>
        <xdr:cNvPr id="2" name="Изображение 5" descr=""/>
        <xdr:cNvPicPr/>
      </xdr:nvPicPr>
      <xdr:blipFill>
        <a:blip r:embed="rId3"/>
        <a:stretch/>
      </xdr:blipFill>
      <xdr:spPr>
        <a:xfrm>
          <a:off x="10094400" y="23373720"/>
          <a:ext cx="1476720" cy="1085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0</xdr:colOff>
      <xdr:row>116</xdr:row>
      <xdr:rowOff>720</xdr:rowOff>
    </xdr:from>
    <xdr:to>
      <xdr:col>12</xdr:col>
      <xdr:colOff>802800</xdr:colOff>
      <xdr:row>119</xdr:row>
      <xdr:rowOff>35640</xdr:rowOff>
    </xdr:to>
    <xdr:pic>
      <xdr:nvPicPr>
        <xdr:cNvPr id="3" name="Изображение 8" descr=""/>
        <xdr:cNvPicPr/>
      </xdr:nvPicPr>
      <xdr:blipFill>
        <a:blip r:embed="rId4"/>
        <a:stretch/>
      </xdr:blipFill>
      <xdr:spPr>
        <a:xfrm>
          <a:off x="12704760" y="23309640"/>
          <a:ext cx="802800" cy="5504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3</xdr:col>
      <xdr:colOff>1099800</xdr:colOff>
      <xdr:row>37</xdr:row>
      <xdr:rowOff>120240</xdr:rowOff>
    </xdr:from>
    <xdr:to>
      <xdr:col>6</xdr:col>
      <xdr:colOff>64440</xdr:colOff>
      <xdr:row>42</xdr:row>
      <xdr:rowOff>117000</xdr:rowOff>
    </xdr:to>
    <xdr:pic>
      <xdr:nvPicPr>
        <xdr:cNvPr id="4" name="Изображение 3" descr=""/>
        <xdr:cNvPicPr/>
      </xdr:nvPicPr>
      <xdr:blipFill>
        <a:blip r:embed="rId5"/>
        <a:stretch/>
      </xdr:blipFill>
      <xdr:spPr>
        <a:xfrm>
          <a:off x="5413320" y="7057440"/>
          <a:ext cx="1907640" cy="8096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</xdr:col>
      <xdr:colOff>717480</xdr:colOff>
      <xdr:row>38</xdr:row>
      <xdr:rowOff>29880</xdr:rowOff>
    </xdr:from>
    <xdr:to>
      <xdr:col>3</xdr:col>
      <xdr:colOff>1065960</xdr:colOff>
      <xdr:row>42</xdr:row>
      <xdr:rowOff>101520</xdr:rowOff>
    </xdr:to>
    <xdr:pic>
      <xdr:nvPicPr>
        <xdr:cNvPr id="5" name="Изображение 1" descr=""/>
        <xdr:cNvPicPr/>
      </xdr:nvPicPr>
      <xdr:blipFill>
        <a:blip r:embed="rId6"/>
        <a:stretch/>
      </xdr:blipFill>
      <xdr:spPr>
        <a:xfrm>
          <a:off x="3710520" y="7129800"/>
          <a:ext cx="1668960" cy="721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882720</xdr:colOff>
      <xdr:row>43</xdr:row>
      <xdr:rowOff>187200</xdr:rowOff>
    </xdr:from>
    <xdr:to>
      <xdr:col>8</xdr:col>
      <xdr:colOff>326880</xdr:colOff>
      <xdr:row>45</xdr:row>
      <xdr:rowOff>230400</xdr:rowOff>
    </xdr:to>
    <xdr:pic>
      <xdr:nvPicPr>
        <xdr:cNvPr id="6" name="Изображение 6" descr=""/>
        <xdr:cNvPicPr/>
      </xdr:nvPicPr>
      <xdr:blipFill>
        <a:blip r:embed="rId7"/>
        <a:stretch/>
      </xdr:blipFill>
      <xdr:spPr>
        <a:xfrm>
          <a:off x="8139240" y="8099640"/>
          <a:ext cx="1172880" cy="508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29880</xdr:colOff>
      <xdr:row>59</xdr:row>
      <xdr:rowOff>61200</xdr:rowOff>
    </xdr:from>
    <xdr:to>
      <xdr:col>1</xdr:col>
      <xdr:colOff>245160</xdr:colOff>
      <xdr:row>65</xdr:row>
      <xdr:rowOff>20880</xdr:rowOff>
    </xdr:to>
    <xdr:pic>
      <xdr:nvPicPr>
        <xdr:cNvPr id="7" name="Изображение 2" descr=""/>
        <xdr:cNvPicPr/>
      </xdr:nvPicPr>
      <xdr:blipFill>
        <a:blip r:embed="rId8"/>
        <a:stretch/>
      </xdr:blipFill>
      <xdr:spPr>
        <a:xfrm>
          <a:off x="29880" y="11287800"/>
          <a:ext cx="1600560" cy="9349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14</xdr:col>
      <xdr:colOff>102600</xdr:colOff>
      <xdr:row>123</xdr:row>
      <xdr:rowOff>151560</xdr:rowOff>
    </xdr:from>
    <xdr:to>
      <xdr:col>17</xdr:col>
      <xdr:colOff>646200</xdr:colOff>
      <xdr:row>129</xdr:row>
      <xdr:rowOff>337320</xdr:rowOff>
    </xdr:to>
    <xdr:pic>
      <xdr:nvPicPr>
        <xdr:cNvPr id="8" name="Изображение 11" descr=""/>
        <xdr:cNvPicPr/>
      </xdr:nvPicPr>
      <xdr:blipFill>
        <a:blip r:embed="rId9"/>
        <a:stretch/>
      </xdr:blipFill>
      <xdr:spPr>
        <a:xfrm>
          <a:off x="15085080" y="24626160"/>
          <a:ext cx="3125520" cy="11610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12</xdr:col>
      <xdr:colOff>39600</xdr:colOff>
      <xdr:row>124</xdr:row>
      <xdr:rowOff>96840</xdr:rowOff>
    </xdr:from>
    <xdr:to>
      <xdr:col>13</xdr:col>
      <xdr:colOff>970560</xdr:colOff>
      <xdr:row>129</xdr:row>
      <xdr:rowOff>159480</xdr:rowOff>
    </xdr:to>
    <xdr:pic>
      <xdr:nvPicPr>
        <xdr:cNvPr id="9" name="Изображение 10" descr=""/>
        <xdr:cNvPicPr/>
      </xdr:nvPicPr>
      <xdr:blipFill>
        <a:blip r:embed="rId10"/>
        <a:stretch/>
      </xdr:blipFill>
      <xdr:spPr>
        <a:xfrm>
          <a:off x="12744360" y="24734160"/>
          <a:ext cx="1745280" cy="875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18</xdr:col>
      <xdr:colOff>97200</xdr:colOff>
      <xdr:row>129</xdr:row>
      <xdr:rowOff>8280</xdr:rowOff>
    </xdr:from>
    <xdr:to>
      <xdr:col>19</xdr:col>
      <xdr:colOff>136440</xdr:colOff>
      <xdr:row>129</xdr:row>
      <xdr:rowOff>177480</xdr:rowOff>
    </xdr:to>
    <xdr:sp>
      <xdr:nvSpPr>
        <xdr:cNvPr id="10" name="CustomShape 1"/>
        <xdr:cNvSpPr/>
      </xdr:nvSpPr>
      <xdr:spPr>
        <a:xfrm>
          <a:off x="18475920" y="25458120"/>
          <a:ext cx="853200" cy="169200"/>
        </a:xfrm>
        <a:prstGeom prst="rect">
          <a:avLst/>
        </a:prstGeom>
        <a:blipFill rotWithShape="0">
          <a:blip r:embed="rId11"/>
          <a:stretch>
            <a:fillRect/>
          </a:stretch>
        </a:blipFill>
        <a:ln>
          <a:noFill/>
        </a:ln>
      </xdr:spPr>
      <xdr:style>
        <a:lnRef idx="0"/>
        <a:fillRef idx="0"/>
        <a:effectRef idx="0"/>
        <a:fontRef idx="minor"/>
      </xdr:style>
      <xdr:txBody>
        <a:bodyPr lIns="0" rIns="0" tIns="0" bIns="0" anchor="ctr" anchorCtr="1">
          <a:spAutoFit/>
        </a:bodyPr>
        <a:p>
          <a:pPr algn="ctr">
            <a:lnSpc>
              <a:spcPct val="100000"/>
            </a:lnSpc>
          </a:pPr>
          <a:r>
            <a:rPr b="0" lang="ru-RU" sz="1200" spc="-1" strike="noStrike">
              <a:latin typeface="Times New Roman"/>
            </a:rPr>
            <a:t>=</a:t>
          </a:r>
          <a:endParaRPr b="0" lang="ru-RU" sz="12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W141"/>
  <sheetViews>
    <sheetView showFormulas="false" showGridLines="true" showRowColHeaders="true" showZeros="true" rightToLeft="false" tabSelected="true" showOutlineSymbols="true" defaultGridColor="true" view="normal" topLeftCell="A109" colorId="64" zoomScale="95" zoomScaleNormal="95" zoomScalePageLayoutView="100" workbookViewId="0">
      <selection pane="topLeft" activeCell="B92" activeCellId="0" sqref="B92"/>
    </sheetView>
  </sheetViews>
  <sheetFormatPr defaultColWidth="11.55078125" defaultRowHeight="12.8" zeroHeight="false" outlineLevelRow="0" outlineLevelCol="0"/>
  <cols>
    <col collapsed="false" customWidth="true" hidden="false" outlineLevel="0" max="1" min="1" style="0" width="19.64"/>
    <col collapsed="false" customWidth="true" hidden="false" outlineLevel="0" max="2" min="2" style="0" width="22.79"/>
    <col collapsed="false" customWidth="true" hidden="false" outlineLevel="0" max="3" min="3" style="0" width="18.71"/>
    <col collapsed="false" customWidth="true" hidden="false" outlineLevel="0" max="4" min="4" style="0" width="15.74"/>
    <col collapsed="false" customWidth="true" hidden="false" outlineLevel="0" max="5" min="5" style="0" width="14.43"/>
    <col collapsed="false" customWidth="true" hidden="false" outlineLevel="0" max="7" min="7" style="0" width="12.96"/>
    <col collapsed="false" customWidth="true" hidden="false" outlineLevel="0" max="9" min="9" style="0" width="14.43"/>
    <col collapsed="false" customWidth="true" hidden="false" outlineLevel="0" max="10" min="10" style="0" width="15.21"/>
    <col collapsed="false" customWidth="true" hidden="false" outlineLevel="0" max="14" min="14" style="0" width="20.74"/>
    <col collapsed="false" customWidth="true" hidden="false" outlineLevel="0" max="15" min="15" style="0" width="13.52"/>
    <col collapsed="false" customWidth="true" hidden="false" outlineLevel="0" max="21" min="21" style="0" width="10.92"/>
    <col collapsed="false" customWidth="true" hidden="false" outlineLevel="0" max="22" min="22" style="0" width="24.08"/>
    <col collapsed="false" customWidth="true" hidden="false" outlineLevel="0" max="23" min="23" style="0" width="22.79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/>
    </row>
    <row r="3" customFormat="false" ht="15" hidden="false" customHeight="false" outlineLevel="0" collapsed="false">
      <c r="A3" s="1" t="s">
        <v>1</v>
      </c>
    </row>
    <row r="4" customFormat="false" ht="17.35" hidden="false" customHeight="false" outlineLevel="0" collapsed="false">
      <c r="A4" s="2" t="s">
        <v>2</v>
      </c>
      <c r="B4" s="3" t="n">
        <v>0.05</v>
      </c>
    </row>
    <row r="6" customFormat="false" ht="12.8" hidden="false" customHeight="false" outlineLevel="0" collapsed="false">
      <c r="A6" s="4" t="s">
        <v>3</v>
      </c>
    </row>
    <row r="7" customFormat="false" ht="52.2" hidden="false" customHeight="false" outlineLevel="0" collapsed="false">
      <c r="A7" s="5" t="s">
        <v>4</v>
      </c>
      <c r="B7" s="6" t="s">
        <v>5</v>
      </c>
      <c r="C7" s="7" t="s">
        <v>6</v>
      </c>
      <c r="D7" s="7" t="s">
        <v>7</v>
      </c>
    </row>
    <row r="8" customFormat="false" ht="12.8" hidden="false" customHeight="false" outlineLevel="0" collapsed="false">
      <c r="A8" s="8" t="s">
        <v>8</v>
      </c>
      <c r="B8" s="9" t="n">
        <v>900</v>
      </c>
      <c r="C8" s="10" t="n">
        <v>0.02</v>
      </c>
      <c r="D8" s="6" t="n">
        <f aca="false">C8*B8</f>
        <v>18</v>
      </c>
    </row>
    <row r="9" customFormat="false" ht="12.8" hidden="false" customHeight="false" outlineLevel="0" collapsed="false">
      <c r="A9" s="8" t="s">
        <v>9</v>
      </c>
      <c r="B9" s="9" t="n">
        <v>800</v>
      </c>
      <c r="C9" s="10" t="n">
        <v>0.03</v>
      </c>
      <c r="D9" s="6" t="n">
        <f aca="false">C9*B9</f>
        <v>24</v>
      </c>
    </row>
    <row r="10" customFormat="false" ht="12.8" hidden="false" customHeight="false" outlineLevel="0" collapsed="false">
      <c r="A10" s="8" t="s">
        <v>10</v>
      </c>
      <c r="B10" s="9" t="n">
        <v>700</v>
      </c>
      <c r="C10" s="10" t="n">
        <v>0.04</v>
      </c>
      <c r="D10" s="6" t="n">
        <f aca="false">C10*B10</f>
        <v>28</v>
      </c>
    </row>
    <row r="11" customFormat="false" ht="12.8" hidden="false" customHeight="false" outlineLevel="0" collapsed="false">
      <c r="A11" s="8" t="s">
        <v>11</v>
      </c>
      <c r="B11" s="9" t="n">
        <v>600</v>
      </c>
      <c r="C11" s="10" t="n">
        <v>0.05</v>
      </c>
      <c r="D11" s="6" t="n">
        <f aca="false">C11*B11</f>
        <v>30</v>
      </c>
    </row>
    <row r="12" customFormat="false" ht="12.8" hidden="false" customHeight="false" outlineLevel="0" collapsed="false">
      <c r="A12" s="8" t="s">
        <v>12</v>
      </c>
      <c r="B12" s="9" t="n">
        <v>500</v>
      </c>
      <c r="C12" s="10" t="n">
        <v>0.06</v>
      </c>
      <c r="D12" s="6" t="n">
        <f aca="false">C12*B12</f>
        <v>30</v>
      </c>
    </row>
    <row r="13" customFormat="false" ht="12.8" hidden="false" customHeight="false" outlineLevel="0" collapsed="false">
      <c r="A13" s="8" t="s">
        <v>13</v>
      </c>
      <c r="B13" s="9" t="n">
        <v>400</v>
      </c>
      <c r="C13" s="10" t="n">
        <v>0.07</v>
      </c>
      <c r="D13" s="6" t="n">
        <f aca="false">C13*B13</f>
        <v>28</v>
      </c>
    </row>
    <row r="14" customFormat="false" ht="12.8" hidden="false" customHeight="false" outlineLevel="0" collapsed="false">
      <c r="A14" s="8" t="s">
        <v>14</v>
      </c>
      <c r="B14" s="9" t="n">
        <v>300</v>
      </c>
      <c r="C14" s="10" t="n">
        <v>0.08</v>
      </c>
      <c r="D14" s="6" t="n">
        <f aca="false">C14*B14</f>
        <v>24</v>
      </c>
    </row>
    <row r="15" customFormat="false" ht="12.8" hidden="false" customHeight="false" outlineLevel="0" collapsed="false">
      <c r="A15" s="8" t="s">
        <v>15</v>
      </c>
      <c r="B15" s="9" t="n">
        <v>200</v>
      </c>
      <c r="C15" s="10" t="n">
        <v>0.09</v>
      </c>
      <c r="D15" s="6" t="n">
        <f aca="false">C15*B15</f>
        <v>18</v>
      </c>
    </row>
    <row r="16" customFormat="false" ht="12.8" hidden="false" customHeight="false" outlineLevel="0" collapsed="false">
      <c r="A16" s="8" t="s">
        <v>16</v>
      </c>
      <c r="B16" s="9" t="n">
        <v>100</v>
      </c>
      <c r="C16" s="10" t="n">
        <v>0.1</v>
      </c>
      <c r="D16" s="6" t="n">
        <f aca="false">C16*B16</f>
        <v>10</v>
      </c>
    </row>
    <row r="17" customFormat="false" ht="12.8" hidden="false" customHeight="false" outlineLevel="0" collapsed="false">
      <c r="A17" s="8" t="s">
        <v>17</v>
      </c>
      <c r="B17" s="9" t="n">
        <v>50</v>
      </c>
      <c r="C17" s="10" t="n">
        <v>0.11</v>
      </c>
      <c r="D17" s="6" t="n">
        <f aca="false">C17*B17</f>
        <v>5.5</v>
      </c>
    </row>
    <row r="18" customFormat="false" ht="12.8" hidden="false" customHeight="false" outlineLevel="0" collapsed="false">
      <c r="A18" s="8" t="s">
        <v>18</v>
      </c>
      <c r="B18" s="9" t="n">
        <v>0</v>
      </c>
      <c r="C18" s="10" t="n">
        <v>0</v>
      </c>
      <c r="D18" s="6" t="n">
        <f aca="false">C18*B18</f>
        <v>0</v>
      </c>
    </row>
    <row r="21" customFormat="false" ht="12.8" hidden="false" customHeight="false" outlineLevel="0" collapsed="false">
      <c r="A21" s="11" t="s">
        <v>19</v>
      </c>
      <c r="B21" s="0" t="n">
        <v>11</v>
      </c>
    </row>
    <row r="22" customFormat="false" ht="23.85" hidden="false" customHeight="false" outlineLevel="0" collapsed="false">
      <c r="A22" s="11" t="s">
        <v>20</v>
      </c>
      <c r="B22" s="0" t="n">
        <v>2</v>
      </c>
    </row>
    <row r="24" customFormat="false" ht="12.8" hidden="false" customHeight="false" outlineLevel="0" collapsed="false">
      <c r="A24" s="12"/>
      <c r="B24" s="12"/>
      <c r="C24" s="13" t="s">
        <v>21</v>
      </c>
      <c r="D24" s="13"/>
      <c r="E24" s="13"/>
      <c r="F24" s="13"/>
      <c r="G24" s="13"/>
      <c r="H24" s="13"/>
      <c r="I24" s="13"/>
      <c r="J24" s="13"/>
    </row>
    <row r="25" customFormat="false" ht="23.85" hidden="false" customHeight="false" outlineLevel="0" collapsed="false">
      <c r="A25" s="14" t="s">
        <v>4</v>
      </c>
      <c r="B25" s="15" t="s">
        <v>22</v>
      </c>
      <c r="C25" s="15" t="s">
        <v>23</v>
      </c>
      <c r="D25" s="15" t="s">
        <v>24</v>
      </c>
      <c r="E25" s="15" t="s">
        <v>25</v>
      </c>
      <c r="F25" s="15" t="s">
        <v>26</v>
      </c>
      <c r="G25" s="15" t="s">
        <v>27</v>
      </c>
      <c r="H25" s="15" t="s">
        <v>28</v>
      </c>
      <c r="I25" s="15" t="s">
        <v>29</v>
      </c>
      <c r="J25" s="13" t="s">
        <v>30</v>
      </c>
    </row>
    <row r="26" customFormat="false" ht="12.8" hidden="false" customHeight="false" outlineLevel="0" collapsed="false">
      <c r="A26" s="14"/>
      <c r="B26" s="13" t="s">
        <v>31</v>
      </c>
      <c r="C26" s="13" t="s">
        <v>32</v>
      </c>
      <c r="D26" s="13" t="s">
        <v>33</v>
      </c>
      <c r="E26" s="13" t="s">
        <v>34</v>
      </c>
      <c r="F26" s="13" t="s">
        <v>35</v>
      </c>
      <c r="G26" s="13" t="s">
        <v>36</v>
      </c>
      <c r="H26" s="13" t="s">
        <v>37</v>
      </c>
      <c r="I26" s="13" t="s">
        <v>38</v>
      </c>
      <c r="J26" s="13" t="s">
        <v>39</v>
      </c>
    </row>
    <row r="27" customFormat="false" ht="12.8" hidden="false" customHeight="false" outlineLevel="0" collapsed="false">
      <c r="A27" s="6" t="n">
        <v>1</v>
      </c>
      <c r="B27" s="9" t="n">
        <v>0</v>
      </c>
      <c r="C27" s="9" t="n">
        <v>0</v>
      </c>
      <c r="D27" s="9" t="n">
        <v>1</v>
      </c>
      <c r="E27" s="9"/>
      <c r="F27" s="9"/>
      <c r="G27" s="9"/>
      <c r="H27" s="9"/>
      <c r="I27" s="9"/>
      <c r="J27" s="6" t="n">
        <f aca="false">SUM(C27:I27)/B$22</f>
        <v>0.5</v>
      </c>
    </row>
    <row r="28" customFormat="false" ht="12.8" hidden="false" customHeight="false" outlineLevel="0" collapsed="false">
      <c r="A28" s="6" t="n">
        <v>2</v>
      </c>
      <c r="B28" s="9" t="n">
        <v>50</v>
      </c>
      <c r="C28" s="9" t="n">
        <v>20</v>
      </c>
      <c r="D28" s="9" t="n">
        <v>21</v>
      </c>
      <c r="E28" s="9"/>
      <c r="F28" s="9"/>
      <c r="G28" s="9"/>
      <c r="H28" s="9"/>
      <c r="I28" s="9"/>
      <c r="J28" s="6" t="n">
        <f aca="false">SUM(C28:I28)/B$22</f>
        <v>20.5</v>
      </c>
    </row>
    <row r="29" customFormat="false" ht="12.8" hidden="false" customHeight="false" outlineLevel="0" collapsed="false">
      <c r="A29" s="6" t="n">
        <v>3</v>
      </c>
      <c r="B29" s="9" t="n">
        <v>100</v>
      </c>
      <c r="C29" s="9" t="n">
        <v>40</v>
      </c>
      <c r="D29" s="9" t="n">
        <v>41</v>
      </c>
      <c r="E29" s="9"/>
      <c r="F29" s="9"/>
      <c r="G29" s="9"/>
      <c r="H29" s="9"/>
      <c r="I29" s="9"/>
      <c r="J29" s="6" t="n">
        <f aca="false">SUM(C29:I29)/B$22</f>
        <v>40.5</v>
      </c>
    </row>
    <row r="30" customFormat="false" ht="12.8" hidden="false" customHeight="false" outlineLevel="0" collapsed="false">
      <c r="A30" s="6" t="n">
        <v>4</v>
      </c>
      <c r="B30" s="9" t="n">
        <v>200</v>
      </c>
      <c r="C30" s="9" t="n">
        <v>80</v>
      </c>
      <c r="D30" s="9" t="n">
        <v>82</v>
      </c>
      <c r="E30" s="9"/>
      <c r="F30" s="9"/>
      <c r="G30" s="9"/>
      <c r="H30" s="9"/>
      <c r="I30" s="9"/>
      <c r="J30" s="6" t="n">
        <f aca="false">SUM(C30:I30)/B$22</f>
        <v>81</v>
      </c>
    </row>
    <row r="31" customFormat="false" ht="12.8" hidden="false" customHeight="false" outlineLevel="0" collapsed="false">
      <c r="A31" s="6" t="n">
        <v>5</v>
      </c>
      <c r="B31" s="9" t="n">
        <v>300</v>
      </c>
      <c r="C31" s="9" t="n">
        <v>125</v>
      </c>
      <c r="D31" s="9" t="n">
        <v>126</v>
      </c>
      <c r="E31" s="9"/>
      <c r="F31" s="9"/>
      <c r="G31" s="9"/>
      <c r="H31" s="9"/>
      <c r="I31" s="9"/>
      <c r="J31" s="6" t="n">
        <f aca="false">SUM(C31:I31)/B$22</f>
        <v>125.5</v>
      </c>
    </row>
    <row r="32" customFormat="false" ht="12.8" hidden="false" customHeight="false" outlineLevel="0" collapsed="false">
      <c r="A32" s="6" t="n">
        <v>6</v>
      </c>
      <c r="B32" s="9" t="n">
        <v>400</v>
      </c>
      <c r="C32" s="9" t="n">
        <v>160</v>
      </c>
      <c r="D32" s="9" t="n">
        <v>159</v>
      </c>
      <c r="E32" s="9"/>
      <c r="F32" s="9"/>
      <c r="G32" s="9"/>
      <c r="H32" s="9"/>
      <c r="I32" s="9"/>
      <c r="J32" s="6" t="n">
        <f aca="false">SUM(C32:I32)/B$22</f>
        <v>159.5</v>
      </c>
    </row>
    <row r="33" customFormat="false" ht="12.8" hidden="false" customHeight="false" outlineLevel="0" collapsed="false">
      <c r="A33" s="6" t="n">
        <v>7</v>
      </c>
      <c r="B33" s="9" t="n">
        <v>500</v>
      </c>
      <c r="C33" s="9" t="n">
        <v>200</v>
      </c>
      <c r="D33" s="9" t="n">
        <v>200</v>
      </c>
      <c r="E33" s="9"/>
      <c r="F33" s="9"/>
      <c r="G33" s="9"/>
      <c r="H33" s="9"/>
      <c r="I33" s="9"/>
      <c r="J33" s="6" t="n">
        <f aca="false">SUM(C33:I33)/B$22</f>
        <v>200</v>
      </c>
    </row>
    <row r="34" customFormat="false" ht="12.8" hidden="false" customHeight="false" outlineLevel="0" collapsed="false">
      <c r="A34" s="6" t="n">
        <v>8</v>
      </c>
      <c r="B34" s="9" t="n">
        <v>600</v>
      </c>
      <c r="C34" s="9" t="n">
        <v>235</v>
      </c>
      <c r="D34" s="9" t="n">
        <v>236</v>
      </c>
      <c r="E34" s="9"/>
      <c r="F34" s="9"/>
      <c r="G34" s="9"/>
      <c r="H34" s="9"/>
      <c r="I34" s="9"/>
      <c r="J34" s="6" t="n">
        <f aca="false">SUM(C34:I34)/B$22</f>
        <v>235.5</v>
      </c>
    </row>
    <row r="35" customFormat="false" ht="12.8" hidden="false" customHeight="false" outlineLevel="0" collapsed="false">
      <c r="A35" s="6" t="n">
        <v>9</v>
      </c>
      <c r="B35" s="9" t="n">
        <v>700</v>
      </c>
      <c r="C35" s="9" t="n">
        <v>280</v>
      </c>
      <c r="D35" s="9" t="n">
        <v>282</v>
      </c>
      <c r="E35" s="9"/>
      <c r="F35" s="9"/>
      <c r="G35" s="9"/>
      <c r="H35" s="9"/>
      <c r="I35" s="9"/>
      <c r="J35" s="6" t="n">
        <f aca="false">SUM(C35:I35)/B$22</f>
        <v>281</v>
      </c>
    </row>
    <row r="36" customFormat="false" ht="12.8" hidden="false" customHeight="false" outlineLevel="0" collapsed="false">
      <c r="A36" s="6" t="n">
        <v>10</v>
      </c>
      <c r="B36" s="9" t="n">
        <v>800</v>
      </c>
      <c r="C36" s="9" t="n">
        <v>324</v>
      </c>
      <c r="D36" s="9" t="n">
        <v>326</v>
      </c>
      <c r="E36" s="9"/>
      <c r="F36" s="9"/>
      <c r="G36" s="9"/>
      <c r="H36" s="9"/>
      <c r="I36" s="9"/>
      <c r="J36" s="6" t="n">
        <f aca="false">SUM(C36:I36)/B$22</f>
        <v>325</v>
      </c>
    </row>
    <row r="37" customFormat="false" ht="12.8" hidden="false" customHeight="false" outlineLevel="0" collapsed="false">
      <c r="A37" s="6" t="n">
        <v>11</v>
      </c>
      <c r="B37" s="9" t="n">
        <v>900</v>
      </c>
      <c r="C37" s="9" t="n">
        <v>365</v>
      </c>
      <c r="D37" s="9" t="n">
        <v>366</v>
      </c>
      <c r="E37" s="9"/>
      <c r="F37" s="9"/>
      <c r="G37" s="9"/>
      <c r="H37" s="9"/>
      <c r="I37" s="9"/>
      <c r="J37" s="6" t="n">
        <f aca="false">SUM(C37:I37)/B$22</f>
        <v>365.5</v>
      </c>
    </row>
    <row r="44" customFormat="false" ht="23.85" hidden="false" customHeight="false" outlineLevel="0" collapsed="false">
      <c r="D44" s="16" t="s">
        <v>40</v>
      </c>
      <c r="E44" s="16" t="s">
        <v>41</v>
      </c>
    </row>
    <row r="45" customFormat="false" ht="12.8" hidden="false" customHeight="false" outlineLevel="0" collapsed="false">
      <c r="D45" s="17" t="n">
        <f aca="false">SUM(B27:B37)/B21</f>
        <v>413.636363636364</v>
      </c>
      <c r="E45" s="17" t="n">
        <f aca="false">SUM(J27:J37)/B21</f>
        <v>166.772727272727</v>
      </c>
    </row>
    <row r="46" customFormat="false" ht="24.45" hidden="false" customHeight="true" outlineLevel="0" collapsed="false">
      <c r="B46" s="15" t="s">
        <v>22</v>
      </c>
      <c r="C46" s="13" t="s">
        <v>42</v>
      </c>
      <c r="D46" s="12"/>
      <c r="E46" s="12"/>
    </row>
    <row r="47" customFormat="false" ht="46.25" hidden="false" customHeight="false" outlineLevel="0" collapsed="false">
      <c r="A47" s="14" t="s">
        <v>4</v>
      </c>
      <c r="B47" s="13" t="s">
        <v>31</v>
      </c>
      <c r="C47" s="13" t="s">
        <v>39</v>
      </c>
      <c r="D47" s="4" t="s">
        <v>43</v>
      </c>
      <c r="E47" s="4" t="s">
        <v>44</v>
      </c>
      <c r="F47" s="14" t="s">
        <v>45</v>
      </c>
      <c r="G47" s="14" t="s">
        <v>46</v>
      </c>
      <c r="H47" s="18" t="s">
        <v>47</v>
      </c>
      <c r="I47" s="19" t="s">
        <v>48</v>
      </c>
    </row>
    <row r="48" customFormat="false" ht="12.8" hidden="false" customHeight="false" outlineLevel="0" collapsed="false">
      <c r="A48" s="6" t="n">
        <v>1</v>
      </c>
      <c r="B48" s="6" t="n">
        <f aca="false">B27</f>
        <v>0</v>
      </c>
      <c r="C48" s="6" t="n">
        <f aca="false">J27</f>
        <v>0.5</v>
      </c>
      <c r="D48" s="20" t="n">
        <f aca="false">B48-D$45</f>
        <v>-413.636363636364</v>
      </c>
      <c r="E48" s="20" t="n">
        <f aca="false">C48-E$45</f>
        <v>-166.272727272727</v>
      </c>
      <c r="F48" s="20" t="n">
        <f aca="false">D48^2</f>
        <v>171095.041322314</v>
      </c>
      <c r="G48" s="20" t="n">
        <f aca="false">E48*D48</f>
        <v>68776.4462809917</v>
      </c>
      <c r="H48" s="20" t="n">
        <f aca="false">D8</f>
        <v>18</v>
      </c>
      <c r="I48" s="20" t="n">
        <f aca="false">H48*D48</f>
        <v>-7445.45454545455</v>
      </c>
    </row>
    <row r="49" customFormat="false" ht="12.8" hidden="false" customHeight="false" outlineLevel="0" collapsed="false">
      <c r="A49" s="6" t="n">
        <v>2</v>
      </c>
      <c r="B49" s="6" t="n">
        <f aca="false">B28</f>
        <v>50</v>
      </c>
      <c r="C49" s="6" t="n">
        <f aca="false">J28</f>
        <v>20.5</v>
      </c>
      <c r="D49" s="20" t="n">
        <f aca="false">B49-D$45</f>
        <v>-363.636363636364</v>
      </c>
      <c r="E49" s="20" t="n">
        <f aca="false">C49-E$45</f>
        <v>-146.272727272727</v>
      </c>
      <c r="F49" s="20" t="n">
        <f aca="false">D49^2</f>
        <v>132231.404958678</v>
      </c>
      <c r="G49" s="20" t="n">
        <f aca="false">E49*D49</f>
        <v>53190.0826446281</v>
      </c>
      <c r="H49" s="20" t="n">
        <f aca="false">D9</f>
        <v>24</v>
      </c>
      <c r="I49" s="20" t="n">
        <f aca="false">H49*D49</f>
        <v>-8727.27272727274</v>
      </c>
    </row>
    <row r="50" customFormat="false" ht="12.8" hidden="false" customHeight="false" outlineLevel="0" collapsed="false">
      <c r="A50" s="6" t="n">
        <v>3</v>
      </c>
      <c r="B50" s="6" t="n">
        <f aca="false">B29</f>
        <v>100</v>
      </c>
      <c r="C50" s="6" t="n">
        <f aca="false">J29</f>
        <v>40.5</v>
      </c>
      <c r="D50" s="20" t="n">
        <f aca="false">B50-D$45</f>
        <v>-313.636363636364</v>
      </c>
      <c r="E50" s="20" t="n">
        <f aca="false">C50-E$45</f>
        <v>-126.272727272727</v>
      </c>
      <c r="F50" s="20" t="n">
        <f aca="false">D50^2</f>
        <v>98367.7685950416</v>
      </c>
      <c r="G50" s="20" t="n">
        <f aca="false">E50*D50</f>
        <v>39603.7190082644</v>
      </c>
      <c r="H50" s="20" t="n">
        <f aca="false">D10</f>
        <v>28</v>
      </c>
      <c r="I50" s="20" t="n">
        <f aca="false">H50*D50</f>
        <v>-8781.81818181819</v>
      </c>
    </row>
    <row r="51" customFormat="false" ht="12.8" hidden="false" customHeight="false" outlineLevel="0" collapsed="false">
      <c r="A51" s="6" t="n">
        <v>4</v>
      </c>
      <c r="B51" s="6" t="n">
        <f aca="false">B30</f>
        <v>200</v>
      </c>
      <c r="C51" s="6" t="n">
        <f aca="false">J30</f>
        <v>81</v>
      </c>
      <c r="D51" s="20" t="n">
        <f aca="false">B51-D$45</f>
        <v>-213.636363636364</v>
      </c>
      <c r="E51" s="20" t="n">
        <f aca="false">C51-E$45</f>
        <v>-85.772727272727</v>
      </c>
      <c r="F51" s="20" t="n">
        <f aca="false">D51^2</f>
        <v>45640.4958677688</v>
      </c>
      <c r="G51" s="20" t="n">
        <f aca="false">E51*D51</f>
        <v>18324.173553719</v>
      </c>
      <c r="H51" s="20" t="n">
        <f aca="false">D11</f>
        <v>30</v>
      </c>
      <c r="I51" s="20" t="n">
        <f aca="false">H51*D51</f>
        <v>-6409.09090909092</v>
      </c>
    </row>
    <row r="52" customFormat="false" ht="12.8" hidden="false" customHeight="false" outlineLevel="0" collapsed="false">
      <c r="A52" s="6" t="n">
        <v>5</v>
      </c>
      <c r="B52" s="6" t="n">
        <f aca="false">B31</f>
        <v>300</v>
      </c>
      <c r="C52" s="6" t="n">
        <f aca="false">J31</f>
        <v>125.5</v>
      </c>
      <c r="D52" s="20" t="n">
        <f aca="false">B52-D$45</f>
        <v>-113.636363636364</v>
      </c>
      <c r="E52" s="20" t="n">
        <f aca="false">C52-E$45</f>
        <v>-41.272727272727</v>
      </c>
      <c r="F52" s="20" t="n">
        <f aca="false">D52^2</f>
        <v>12913.2231404959</v>
      </c>
      <c r="G52" s="20" t="n">
        <f aca="false">E52*D52</f>
        <v>4690.08264462808</v>
      </c>
      <c r="H52" s="20" t="n">
        <f aca="false">D12</f>
        <v>30</v>
      </c>
      <c r="I52" s="20" t="n">
        <f aca="false">H52*D52</f>
        <v>-3409.09090909092</v>
      </c>
    </row>
    <row r="53" customFormat="false" ht="12.8" hidden="false" customHeight="false" outlineLevel="0" collapsed="false">
      <c r="A53" s="6" t="n">
        <v>6</v>
      </c>
      <c r="B53" s="6" t="n">
        <f aca="false">B32</f>
        <v>400</v>
      </c>
      <c r="C53" s="6" t="n">
        <f aca="false">J32</f>
        <v>159.5</v>
      </c>
      <c r="D53" s="20" t="n">
        <f aca="false">B53-D$45</f>
        <v>-13.6363636363636</v>
      </c>
      <c r="E53" s="20" t="n">
        <f aca="false">C53-E$45</f>
        <v>-7.272727272727</v>
      </c>
      <c r="F53" s="20" t="n">
        <f aca="false">D53^2</f>
        <v>185.95041322314</v>
      </c>
      <c r="G53" s="20" t="n">
        <f aca="false">E53*D53</f>
        <v>99.1735537190042</v>
      </c>
      <c r="H53" s="20" t="n">
        <f aca="false">D13</f>
        <v>28</v>
      </c>
      <c r="I53" s="20" t="n">
        <f aca="false">H53*D53</f>
        <v>-381.818181818181</v>
      </c>
    </row>
    <row r="54" customFormat="false" ht="12.8" hidden="false" customHeight="false" outlineLevel="0" collapsed="false">
      <c r="A54" s="6" t="n">
        <v>7</v>
      </c>
      <c r="B54" s="6" t="n">
        <f aca="false">B33</f>
        <v>500</v>
      </c>
      <c r="C54" s="6" t="n">
        <f aca="false">J33</f>
        <v>200</v>
      </c>
      <c r="D54" s="20" t="n">
        <f aca="false">B54-D$45</f>
        <v>86.3636363636364</v>
      </c>
      <c r="E54" s="20" t="n">
        <f aca="false">C54-E$45</f>
        <v>33.227272727273</v>
      </c>
      <c r="F54" s="20" t="n">
        <f aca="false">D54^2</f>
        <v>7458.67768595042</v>
      </c>
      <c r="G54" s="20" t="n">
        <f aca="false">E54*D54</f>
        <v>2869.62809917358</v>
      </c>
      <c r="H54" s="20" t="n">
        <f aca="false">D14</f>
        <v>24</v>
      </c>
      <c r="I54" s="20" t="n">
        <f aca="false">H54*D54</f>
        <v>2072.72727272727</v>
      </c>
    </row>
    <row r="55" customFormat="false" ht="12.8" hidden="false" customHeight="false" outlineLevel="0" collapsed="false">
      <c r="A55" s="6" t="n">
        <v>8</v>
      </c>
      <c r="B55" s="6" t="n">
        <f aca="false">B34</f>
        <v>600</v>
      </c>
      <c r="C55" s="6" t="n">
        <f aca="false">J34</f>
        <v>235.5</v>
      </c>
      <c r="D55" s="20" t="n">
        <f aca="false">B55-D$45</f>
        <v>186.363636363636</v>
      </c>
      <c r="E55" s="20" t="n">
        <f aca="false">C55-E$45</f>
        <v>68.727272727273</v>
      </c>
      <c r="F55" s="20" t="n">
        <f aca="false">D55^2</f>
        <v>34731.4049586776</v>
      </c>
      <c r="G55" s="20" t="n">
        <f aca="false">E55*D55</f>
        <v>12808.2644628099</v>
      </c>
      <c r="H55" s="20" t="n">
        <f aca="false">D15</f>
        <v>18</v>
      </c>
      <c r="I55" s="20" t="n">
        <f aca="false">H55*D55</f>
        <v>3354.54545454545</v>
      </c>
    </row>
    <row r="56" customFormat="false" ht="12.8" hidden="false" customHeight="false" outlineLevel="0" collapsed="false">
      <c r="A56" s="6" t="n">
        <v>9</v>
      </c>
      <c r="B56" s="6" t="n">
        <f aca="false">B35</f>
        <v>700</v>
      </c>
      <c r="C56" s="6" t="n">
        <f aca="false">J35</f>
        <v>281</v>
      </c>
      <c r="D56" s="20" t="n">
        <f aca="false">B56-D$45</f>
        <v>286.363636363636</v>
      </c>
      <c r="E56" s="20" t="n">
        <f aca="false">C56-E$45</f>
        <v>114.227272727273</v>
      </c>
      <c r="F56" s="20" t="n">
        <f aca="false">D56^2</f>
        <v>82004.1322314047</v>
      </c>
      <c r="G56" s="20" t="n">
        <f aca="false">E56*D56</f>
        <v>32710.5371900827</v>
      </c>
      <c r="H56" s="20" t="n">
        <f aca="false">D16</f>
        <v>10</v>
      </c>
      <c r="I56" s="20" t="n">
        <f aca="false">H56*D56</f>
        <v>2863.63636363636</v>
      </c>
    </row>
    <row r="57" customFormat="false" ht="12.8" hidden="false" customHeight="false" outlineLevel="0" collapsed="false">
      <c r="A57" s="6" t="n">
        <v>10</v>
      </c>
      <c r="B57" s="6" t="n">
        <f aca="false">B36</f>
        <v>800</v>
      </c>
      <c r="C57" s="6" t="n">
        <f aca="false">J36</f>
        <v>325</v>
      </c>
      <c r="D57" s="20" t="n">
        <f aca="false">B57-D$45</f>
        <v>386.363636363636</v>
      </c>
      <c r="E57" s="20" t="n">
        <f aca="false">C57-E$45</f>
        <v>158.227272727273</v>
      </c>
      <c r="F57" s="20" t="n">
        <f aca="false">D57^2</f>
        <v>149276.859504132</v>
      </c>
      <c r="G57" s="20" t="n">
        <f aca="false">E57*D57</f>
        <v>61133.26446281</v>
      </c>
      <c r="H57" s="20" t="n">
        <f aca="false">D17</f>
        <v>5.5</v>
      </c>
      <c r="I57" s="20" t="n">
        <f aca="false">H57*D57</f>
        <v>2125</v>
      </c>
    </row>
    <row r="58" customFormat="false" ht="12.8" hidden="false" customHeight="false" outlineLevel="0" collapsed="false">
      <c r="A58" s="6" t="n">
        <v>11</v>
      </c>
      <c r="B58" s="6" t="n">
        <f aca="false">B37</f>
        <v>900</v>
      </c>
      <c r="C58" s="6" t="n">
        <f aca="false">J37</f>
        <v>365.5</v>
      </c>
      <c r="D58" s="20" t="n">
        <f aca="false">B58-D$45</f>
        <v>486.363636363636</v>
      </c>
      <c r="E58" s="20" t="n">
        <f aca="false">C58-E$45</f>
        <v>198.727272727273</v>
      </c>
      <c r="F58" s="20" t="n">
        <f aca="false">D58^2</f>
        <v>236549.586776859</v>
      </c>
      <c r="G58" s="20" t="n">
        <f aca="false">E58*D58</f>
        <v>96653.7190082645</v>
      </c>
      <c r="H58" s="20" t="n">
        <f aca="false">D18</f>
        <v>0</v>
      </c>
      <c r="I58" s="20" t="n">
        <f aca="false">H58*D58</f>
        <v>0</v>
      </c>
    </row>
    <row r="59" customFormat="false" ht="12.8" hidden="false" customHeight="false" outlineLevel="0" collapsed="false">
      <c r="A59" s="4" t="s">
        <v>49</v>
      </c>
      <c r="F59" s="21" t="n">
        <f aca="false">SUM(F48:F58)</f>
        <v>970454.545454546</v>
      </c>
      <c r="G59" s="21" t="n">
        <f aca="false">SUM(G48:G58)</f>
        <v>390859.090909091</v>
      </c>
      <c r="H59" s="6"/>
      <c r="I59" s="22" t="n">
        <f aca="false">SUM(I48:I58)</f>
        <v>-24738.6363636364</v>
      </c>
      <c r="J59" s="21" t="n">
        <f aca="false">I59^2</f>
        <v>612000129.132234</v>
      </c>
    </row>
    <row r="60" customFormat="false" ht="12.8" hidden="false" customHeight="false" outlineLevel="0" collapsed="false">
      <c r="F60" s="4"/>
    </row>
    <row r="66" customFormat="false" ht="12.8" hidden="false" customHeight="false" outlineLevel="0" collapsed="false">
      <c r="D66" s="4" t="s">
        <v>50</v>
      </c>
    </row>
    <row r="67" customFormat="false" ht="17.35" hidden="false" customHeight="true" outlineLevel="0" collapsed="false">
      <c r="A67" s="23" t="s">
        <v>51</v>
      </c>
      <c r="B67" s="23"/>
      <c r="C67" s="24" t="n">
        <f aca="false">G59/F59</f>
        <v>0.402758782201405</v>
      </c>
      <c r="D67" s="4"/>
    </row>
    <row r="68" customFormat="false" ht="17.35" hidden="false" customHeight="true" outlineLevel="0" collapsed="false">
      <c r="A68" s="23" t="s">
        <v>52</v>
      </c>
      <c r="B68" s="23"/>
      <c r="C68" s="25" t="n">
        <f aca="false">(E45-D45*C67)</f>
        <v>0.17704918032743</v>
      </c>
      <c r="D68" s="26" t="n">
        <f aca="false">C68</f>
        <v>0.17704918032743</v>
      </c>
    </row>
    <row r="69" customFormat="false" ht="17.35" hidden="false" customHeight="false" outlineLevel="0" collapsed="false">
      <c r="A69" s="27" t="s">
        <v>53</v>
      </c>
      <c r="B69" s="27"/>
      <c r="C69" s="24" t="n">
        <f aca="false">PEARSON(C48:C58,B73:B83)^2</f>
        <v>0.999477789412709</v>
      </c>
    </row>
    <row r="71" customFormat="false" ht="26" hidden="false" customHeight="true" outlineLevel="0" collapsed="false">
      <c r="B71" s="28" t="s">
        <v>54</v>
      </c>
    </row>
    <row r="72" customFormat="false" ht="12.8" hidden="false" customHeight="false" outlineLevel="0" collapsed="false">
      <c r="A72" s="14" t="s">
        <v>4</v>
      </c>
      <c r="B72" s="6" t="s">
        <v>55</v>
      </c>
      <c r="C72" s="14" t="s">
        <v>56</v>
      </c>
      <c r="D72" s="14" t="s">
        <v>57</v>
      </c>
    </row>
    <row r="73" customFormat="false" ht="12.8" hidden="false" customHeight="false" outlineLevel="0" collapsed="false">
      <c r="A73" s="6" t="n">
        <v>1</v>
      </c>
      <c r="B73" s="20" t="n">
        <f aca="false">B27*C$67+D$68</f>
        <v>0.17704918032743</v>
      </c>
      <c r="C73" s="20" t="n">
        <f aca="false">(J27-B73)^2</f>
        <v>0.104297231927185</v>
      </c>
      <c r="D73" s="20" t="n">
        <f aca="false">B27^2</f>
        <v>0</v>
      </c>
    </row>
    <row r="74" customFormat="false" ht="12.8" hidden="false" customHeight="false" outlineLevel="0" collapsed="false">
      <c r="A74" s="6" t="n">
        <v>2</v>
      </c>
      <c r="B74" s="20" t="n">
        <f aca="false">B28*C$67+D$68</f>
        <v>20.3149882903977</v>
      </c>
      <c r="C74" s="20" t="n">
        <f aca="false">(J28-B74)^2</f>
        <v>0.0342293326899723</v>
      </c>
      <c r="D74" s="20" t="n">
        <f aca="false">B28^2</f>
        <v>2500</v>
      </c>
    </row>
    <row r="75" customFormat="false" ht="12.8" hidden="false" customHeight="false" outlineLevel="0" collapsed="false">
      <c r="A75" s="6" t="n">
        <v>3</v>
      </c>
      <c r="B75" s="20" t="n">
        <f aca="false">B29*C$67+D$68</f>
        <v>40.4529274004679</v>
      </c>
      <c r="C75" s="20" t="n">
        <f aca="false">(J29-B75)^2</f>
        <v>0.00221582962670616</v>
      </c>
      <c r="D75" s="20" t="n">
        <f aca="false">B29^2</f>
        <v>10000</v>
      </c>
    </row>
    <row r="76" customFormat="false" ht="12.8" hidden="false" customHeight="false" outlineLevel="0" collapsed="false">
      <c r="A76" s="6" t="n">
        <v>4</v>
      </c>
      <c r="B76" s="20" t="n">
        <f aca="false">B30*C$67+D$68</f>
        <v>80.7288056206084</v>
      </c>
      <c r="C76" s="20" t="n">
        <f aca="false">(J30-B76)^2</f>
        <v>0.0735463914135731</v>
      </c>
      <c r="D76" s="20" t="n">
        <f aca="false">B30^2</f>
        <v>40000</v>
      </c>
    </row>
    <row r="77" customFormat="false" ht="12.8" hidden="false" customHeight="false" outlineLevel="0" collapsed="false">
      <c r="A77" s="6" t="n">
        <v>5</v>
      </c>
      <c r="B77" s="20" t="n">
        <f aca="false">B31*C$67+D$68</f>
        <v>121.004683840749</v>
      </c>
      <c r="C77" s="20" t="n">
        <f aca="false">(J31-B77)^2</f>
        <v>20.2078673716237</v>
      </c>
      <c r="D77" s="20" t="n">
        <f aca="false">B31^2</f>
        <v>90000</v>
      </c>
    </row>
    <row r="78" customFormat="false" ht="12.8" hidden="false" customHeight="false" outlineLevel="0" collapsed="false">
      <c r="A78" s="6" t="n">
        <v>6</v>
      </c>
      <c r="B78" s="20" t="n">
        <f aca="false">B32*C$67+D$68</f>
        <v>161.280562060889</v>
      </c>
      <c r="C78" s="20" t="n">
        <f aca="false">(J32-B78)^2</f>
        <v>3.17040125267889</v>
      </c>
      <c r="D78" s="20" t="n">
        <f aca="false">B32^2</f>
        <v>160000</v>
      </c>
    </row>
    <row r="79" customFormat="false" ht="12.8" hidden="false" customHeight="false" outlineLevel="0" collapsed="false">
      <c r="A79" s="6" t="n">
        <v>7</v>
      </c>
      <c r="B79" s="20" t="n">
        <f aca="false">B33*C$67+D$68</f>
        <v>201.55644028103</v>
      </c>
      <c r="C79" s="20" t="n">
        <f aca="false">(J33-B79)^2</f>
        <v>2.42250634841259</v>
      </c>
      <c r="D79" s="20" t="n">
        <f aca="false">B33^2</f>
        <v>250000</v>
      </c>
    </row>
    <row r="80" customFormat="false" ht="12.8" hidden="false" customHeight="false" outlineLevel="0" collapsed="false">
      <c r="A80" s="6" t="n">
        <v>8</v>
      </c>
      <c r="B80" s="20" t="n">
        <f aca="false">B34*C$67+D$68</f>
        <v>241.83231850117</v>
      </c>
      <c r="C80" s="20" t="n">
        <f aca="false">(J34-B80)^2</f>
        <v>40.0982576002656</v>
      </c>
      <c r="D80" s="20" t="n">
        <f aca="false">B34^2</f>
        <v>360000</v>
      </c>
    </row>
    <row r="81" customFormat="false" ht="12.8" hidden="false" customHeight="false" outlineLevel="0" collapsed="false">
      <c r="A81" s="6" t="n">
        <v>9</v>
      </c>
      <c r="B81" s="20" t="n">
        <f aca="false">B35*C$67+D$68</f>
        <v>282.108196721311</v>
      </c>
      <c r="C81" s="20" t="n">
        <f aca="false">(J35-B81)^2</f>
        <v>1.22809997312446</v>
      </c>
      <c r="D81" s="20" t="n">
        <f aca="false">B35^2</f>
        <v>490000</v>
      </c>
    </row>
    <row r="82" customFormat="false" ht="12.8" hidden="false" customHeight="false" outlineLevel="0" collapsed="false">
      <c r="A82" s="6" t="n">
        <v>10</v>
      </c>
      <c r="B82" s="20" t="n">
        <f aca="false">B36*C$67+D$68</f>
        <v>322.384074941451</v>
      </c>
      <c r="C82" s="20" t="n">
        <f aca="false">(J36-B82)^2</f>
        <v>6.84306391194196</v>
      </c>
      <c r="D82" s="20" t="n">
        <f aca="false">B36^2</f>
        <v>640000</v>
      </c>
    </row>
    <row r="83" customFormat="false" ht="12.8" hidden="false" customHeight="false" outlineLevel="0" collapsed="false">
      <c r="A83" s="6" t="n">
        <v>11</v>
      </c>
      <c r="B83" s="20" t="n">
        <f aca="false">B37*C$67+D$68</f>
        <v>362.659953161592</v>
      </c>
      <c r="C83" s="20" t="n">
        <f aca="false">(J37-B83)^2</f>
        <v>8.06586604435128</v>
      </c>
      <c r="D83" s="20" t="n">
        <f aca="false">B37^2</f>
        <v>810000</v>
      </c>
    </row>
    <row r="84" customFormat="false" ht="12.8" hidden="false" customHeight="false" outlineLevel="0" collapsed="false">
      <c r="A84" s="13" t="s">
        <v>49</v>
      </c>
      <c r="B84" s="12"/>
      <c r="C84" s="21" t="n">
        <f aca="false">SUM(C73:C83)</f>
        <v>82.2503512880559</v>
      </c>
      <c r="D84" s="21" t="n">
        <f aca="false">SUM(D73:D79)</f>
        <v>552500</v>
      </c>
    </row>
    <row r="86" customFormat="false" ht="12.8" hidden="false" customHeight="false" outlineLevel="0" collapsed="false">
      <c r="A86" s="0" t="s">
        <v>58</v>
      </c>
      <c r="B86" s="21" t="n">
        <f aca="false">C84/(B21-2)</f>
        <v>9.1389279208951</v>
      </c>
      <c r="C86" s="21" t="n">
        <f aca="false">C84/(B21-1)</f>
        <v>8.22503512880559</v>
      </c>
    </row>
    <row r="87" customFormat="false" ht="17.35" hidden="false" customHeight="false" outlineLevel="0" collapsed="false">
      <c r="B87" s="29" t="n">
        <f aca="false">B86</f>
        <v>9.1389279208951</v>
      </c>
      <c r="C87" s="30" t="s">
        <v>59</v>
      </c>
      <c r="D87" s="4"/>
    </row>
    <row r="88" customFormat="false" ht="12.8" hidden="false" customHeight="false" outlineLevel="0" collapsed="false">
      <c r="A88" s="0" t="s">
        <v>60</v>
      </c>
      <c r="B88" s="31" t="n">
        <f aca="false">B87^(1/2)</f>
        <v>3.02306598024176</v>
      </c>
    </row>
    <row r="89" customFormat="false" ht="12.8" hidden="false" customHeight="false" outlineLevel="0" collapsed="false">
      <c r="A89" s="0" t="s">
        <v>61</v>
      </c>
      <c r="B89" s="32" t="n">
        <f aca="false">B87/F59</f>
        <v>9.41716226040712E-006</v>
      </c>
    </row>
    <row r="90" customFormat="false" ht="12.8" hidden="false" customHeight="false" outlineLevel="0" collapsed="false">
      <c r="A90" s="0" t="s">
        <v>62</v>
      </c>
      <c r="B90" s="33" t="n">
        <f aca="false">B89^(1/2)</f>
        <v>0.00306873952306271</v>
      </c>
    </row>
    <row r="91" customFormat="false" ht="12.8" hidden="false" customHeight="false" outlineLevel="0" collapsed="false">
      <c r="A91" s="0" t="s">
        <v>63</v>
      </c>
      <c r="B91" s="34" t="n">
        <f aca="false">(B89/B21)*D84</f>
        <v>0.472998377170449</v>
      </c>
    </row>
    <row r="92" customFormat="false" ht="17.35" hidden="false" customHeight="false" outlineLevel="0" collapsed="false">
      <c r="A92" s="0" t="s">
        <v>64</v>
      </c>
      <c r="B92" s="35" t="n">
        <f aca="false">B91^(1/2)</f>
        <v>0.687748774750234</v>
      </c>
      <c r="C92" s="30" t="s">
        <v>65</v>
      </c>
    </row>
    <row r="93" customFormat="false" ht="68" hidden="false" customHeight="true" outlineLevel="0" collapsed="false">
      <c r="A93" s="28" t="s">
        <v>66</v>
      </c>
    </row>
    <row r="94" customFormat="false" ht="12.8" hidden="false" customHeight="false" outlineLevel="0" collapsed="false">
      <c r="A94" s="36" t="s">
        <v>67</v>
      </c>
      <c r="B94" s="37" t="n">
        <f aca="false">3.3*B92/C67</f>
        <v>5.63506261557034</v>
      </c>
    </row>
    <row r="95" customFormat="false" ht="35.05" hidden="false" customHeight="false" outlineLevel="0" collapsed="false">
      <c r="A95" s="36" t="s">
        <v>68</v>
      </c>
      <c r="B95" s="37" t="n">
        <f aca="false">10*B92/C67</f>
        <v>17.0759473199101</v>
      </c>
    </row>
    <row r="97" customFormat="false" ht="17.35" hidden="false" customHeight="false" outlineLevel="0" collapsed="false">
      <c r="A97" s="30" t="s">
        <v>69</v>
      </c>
    </row>
    <row r="98" customFormat="false" ht="12.8" hidden="false" customHeight="false" outlineLevel="0" collapsed="false">
      <c r="C98" s="0" t="s">
        <v>70</v>
      </c>
    </row>
    <row r="99" customFormat="false" ht="57.45" hidden="false" customHeight="false" outlineLevel="0" collapsed="false">
      <c r="A99" s="12" t="s">
        <v>71</v>
      </c>
      <c r="B99" s="0" t="s">
        <v>72</v>
      </c>
      <c r="C99" s="0" t="s">
        <v>73</v>
      </c>
      <c r="D99" s="0" t="s">
        <v>23</v>
      </c>
      <c r="E99" s="0" t="s">
        <v>24</v>
      </c>
      <c r="F99" s="0" t="s">
        <v>25</v>
      </c>
      <c r="G99" s="0" t="s">
        <v>26</v>
      </c>
      <c r="H99" s="0" t="s">
        <v>27</v>
      </c>
      <c r="I99" s="0" t="s">
        <v>28</v>
      </c>
      <c r="J99" s="0" t="s">
        <v>29</v>
      </c>
      <c r="K99" s="0" t="s">
        <v>74</v>
      </c>
      <c r="L99" s="0" t="s">
        <v>75</v>
      </c>
      <c r="M99" s="0" t="s">
        <v>76</v>
      </c>
      <c r="N99" s="0" t="s">
        <v>77</v>
      </c>
      <c r="O99" s="0" t="s">
        <v>78</v>
      </c>
      <c r="P99" s="0" t="s">
        <v>79</v>
      </c>
      <c r="Q99" s="28" t="s">
        <v>80</v>
      </c>
      <c r="R99" s="15" t="s">
        <v>81</v>
      </c>
      <c r="S99" s="15" t="s">
        <v>82</v>
      </c>
    </row>
    <row r="100" customFormat="false" ht="17.35" hidden="false" customHeight="false" outlineLevel="0" collapsed="false">
      <c r="A100" s="38" t="s">
        <v>83</v>
      </c>
      <c r="B100" s="20" t="n">
        <f aca="false">(C100-D$68)/C$67</f>
        <v>0.80184674784093</v>
      </c>
      <c r="C100" s="20" t="n">
        <f aca="false">SUM(D100:J100)/B$22</f>
        <v>0.5</v>
      </c>
      <c r="D100" s="9" t="n">
        <v>0</v>
      </c>
      <c r="E100" s="9" t="n">
        <v>1</v>
      </c>
      <c r="F100" s="9"/>
      <c r="G100" s="9"/>
      <c r="H100" s="9"/>
      <c r="I100" s="9"/>
      <c r="J100" s="9"/>
      <c r="K100" s="20" t="n">
        <f aca="false">(C100-E$45)^2</f>
        <v>27646.6198347107</v>
      </c>
      <c r="L100" s="20" t="n">
        <f aca="false">1/$B$21</f>
        <v>0.0909090909090909</v>
      </c>
      <c r="M100" s="6" t="n">
        <f aca="false">1/$B$22</f>
        <v>0.5</v>
      </c>
      <c r="N100" s="20" t="n">
        <f aca="false">(C$67^2)*F$59</f>
        <v>157421.931466894</v>
      </c>
      <c r="O100" s="20" t="n">
        <f aca="false">((K100/N100)+L100+M100)*B$87/(C$67^2)</f>
        <v>43.1851571425601</v>
      </c>
      <c r="P100" s="20" t="n">
        <f aca="false">O100^(1/2)</f>
        <v>6.57154145863511</v>
      </c>
      <c r="Q100" s="39" t="n">
        <f aca="false">AVERAGE(P100:P110)</f>
        <v>6.17770934903199</v>
      </c>
      <c r="R100" s="40" t="n">
        <f aca="false">Q100*2</f>
        <v>12.355418698064</v>
      </c>
      <c r="S100" s="40" t="n">
        <f aca="false">R100*2</f>
        <v>24.7108373961279</v>
      </c>
    </row>
    <row r="101" customFormat="false" ht="17.35" hidden="false" customHeight="false" outlineLevel="0" collapsed="false">
      <c r="A101" s="38" t="s">
        <v>83</v>
      </c>
      <c r="B101" s="20" t="n">
        <f aca="false">(C101-D$68)/C$67</f>
        <v>50.4593610810696</v>
      </c>
      <c r="C101" s="20" t="n">
        <f aca="false">SUM(D101:J101)/B$22</f>
        <v>20.5</v>
      </c>
      <c r="D101" s="9" t="n">
        <v>20</v>
      </c>
      <c r="E101" s="9" t="n">
        <v>21</v>
      </c>
      <c r="F101" s="9"/>
      <c r="G101" s="9"/>
      <c r="H101" s="9"/>
      <c r="I101" s="9"/>
      <c r="J101" s="9"/>
      <c r="K101" s="20" t="n">
        <f aca="false">(C101-E$45)^2</f>
        <v>21395.7107438017</v>
      </c>
      <c r="L101" s="20" t="n">
        <f aca="false">1/$B$21</f>
        <v>0.0909090909090909</v>
      </c>
      <c r="M101" s="6" t="n">
        <f aca="false">1/$B$22</f>
        <v>0.5</v>
      </c>
      <c r="N101" s="20" t="n">
        <f aca="false">(C$67^2)*F$59</f>
        <v>157421.931466894</v>
      </c>
      <c r="O101" s="20" t="n">
        <f aca="false">((K101/N101)+L101+M101)*B$87/(C$67^2)</f>
        <v>40.9480686686233</v>
      </c>
      <c r="P101" s="20" t="n">
        <f aca="false">O101^(1/2)</f>
        <v>6.39906779684536</v>
      </c>
    </row>
    <row r="102" customFormat="false" ht="17.35" hidden="false" customHeight="false" outlineLevel="0" collapsed="false">
      <c r="A102" s="38" t="s">
        <v>83</v>
      </c>
      <c r="B102" s="20" t="n">
        <f aca="false">(C102-D$68)/C$67</f>
        <v>100.116875414298</v>
      </c>
      <c r="C102" s="20" t="n">
        <f aca="false">SUM(D102:J102)/B$22</f>
        <v>40.5</v>
      </c>
      <c r="D102" s="9" t="n">
        <v>40</v>
      </c>
      <c r="E102" s="9" t="n">
        <v>41</v>
      </c>
      <c r="F102" s="9"/>
      <c r="G102" s="9"/>
      <c r="H102" s="9"/>
      <c r="I102" s="9"/>
      <c r="J102" s="9"/>
      <c r="K102" s="20" t="n">
        <f aca="false">(C102-E$45)^2</f>
        <v>15944.8016528926</v>
      </c>
      <c r="L102" s="20" t="n">
        <f aca="false">1/$B$21</f>
        <v>0.0909090909090909</v>
      </c>
      <c r="M102" s="6" t="n">
        <f aca="false">1/$B$22</f>
        <v>0.5</v>
      </c>
      <c r="N102" s="20" t="n">
        <f aca="false">(C$67^2)*F$59</f>
        <v>157421.931466894</v>
      </c>
      <c r="O102" s="20" t="n">
        <f aca="false">((K102/N102)+L102+M102)*B$87/(C$67^2)</f>
        <v>38.9972858748879</v>
      </c>
      <c r="P102" s="20" t="n">
        <f aca="false">O102^(1/2)</f>
        <v>6.24478069069586</v>
      </c>
    </row>
    <row r="103" customFormat="false" ht="17.35" hidden="false" customHeight="false" outlineLevel="0" collapsed="false">
      <c r="A103" s="38" t="s">
        <v>83</v>
      </c>
      <c r="B103" s="20" t="n">
        <f aca="false">(C103-D$68)/C$67</f>
        <v>200.673341939086</v>
      </c>
      <c r="C103" s="20" t="n">
        <f aca="false">SUM(D103:J103)/B$22</f>
        <v>81</v>
      </c>
      <c r="D103" s="9" t="n">
        <v>80</v>
      </c>
      <c r="E103" s="9" t="n">
        <v>82</v>
      </c>
      <c r="F103" s="9"/>
      <c r="G103" s="9"/>
      <c r="H103" s="9"/>
      <c r="I103" s="9"/>
      <c r="J103" s="9"/>
      <c r="K103" s="20" t="n">
        <f aca="false">(C103-E$45)^2</f>
        <v>7356.96074380166</v>
      </c>
      <c r="L103" s="20" t="n">
        <f aca="false">1/$B$21</f>
        <v>0.0909090909090909</v>
      </c>
      <c r="M103" s="6" t="n">
        <f aca="false">1/$B$22</f>
        <v>0.5</v>
      </c>
      <c r="N103" s="20" t="n">
        <f aca="false">(C$67^2)*F$59</f>
        <v>157421.931466894</v>
      </c>
      <c r="O103" s="20" t="n">
        <f aca="false">((K103/N103)+L103+M103)*B$87/(C$67^2)</f>
        <v>35.9238513337152</v>
      </c>
      <c r="P103" s="20" t="n">
        <f aca="false">O103^(1/2)</f>
        <v>5.99365091857336</v>
      </c>
    </row>
    <row r="104" customFormat="false" ht="17.35" hidden="false" customHeight="false" outlineLevel="0" collapsed="false">
      <c r="A104" s="38" t="s">
        <v>83</v>
      </c>
      <c r="B104" s="20" t="n">
        <f aca="false">(C104-D$68)/C$67</f>
        <v>311.16131133052</v>
      </c>
      <c r="C104" s="20" t="n">
        <f aca="false">SUM(D104:J104)/B$22</f>
        <v>125.5</v>
      </c>
      <c r="D104" s="9" t="n">
        <v>125</v>
      </c>
      <c r="E104" s="9" t="n">
        <v>126</v>
      </c>
      <c r="F104" s="9"/>
      <c r="G104" s="9"/>
      <c r="H104" s="9"/>
      <c r="I104" s="9"/>
      <c r="J104" s="9"/>
      <c r="K104" s="20" t="n">
        <f aca="false">(C104-E$45)^2</f>
        <v>1703.43801652893</v>
      </c>
      <c r="L104" s="20" t="n">
        <f aca="false">1/$B$21</f>
        <v>0.0909090909090909</v>
      </c>
      <c r="M104" s="6" t="n">
        <f aca="false">1/$B$22</f>
        <v>0.5</v>
      </c>
      <c r="N104" s="20" t="n">
        <f aca="false">(C$67^2)*F$59</f>
        <v>157421.931466894</v>
      </c>
      <c r="O104" s="20" t="n">
        <f aca="false">((K104/N104)+L104+M104)*B$87/(C$67^2)</f>
        <v>33.9005567462583</v>
      </c>
      <c r="P104" s="20" t="n">
        <f aca="false">O104^(1/2)</f>
        <v>5.82241846196736</v>
      </c>
    </row>
    <row r="105" customFormat="false" ht="17.35" hidden="false" customHeight="false" outlineLevel="0" collapsed="false">
      <c r="A105" s="38" t="s">
        <v>83</v>
      </c>
      <c r="B105" s="20" t="n">
        <f aca="false">(C105-D$68)/C$67</f>
        <v>395.579085697009</v>
      </c>
      <c r="C105" s="20" t="n">
        <f aca="false">SUM(D105:J105)/B$22</f>
        <v>159.5</v>
      </c>
      <c r="D105" s="9" t="n">
        <v>160</v>
      </c>
      <c r="E105" s="9" t="n">
        <v>159</v>
      </c>
      <c r="F105" s="9"/>
      <c r="G105" s="9"/>
      <c r="H105" s="9"/>
      <c r="I105" s="9"/>
      <c r="J105" s="9"/>
      <c r="K105" s="20" t="n">
        <f aca="false">(C105-E$45)^2</f>
        <v>52.8925619834712</v>
      </c>
      <c r="L105" s="20" t="n">
        <f aca="false">1/$B$21</f>
        <v>0.0909090909090909</v>
      </c>
      <c r="M105" s="6" t="n">
        <f aca="false">1/$B$22</f>
        <v>0.5</v>
      </c>
      <c r="N105" s="20" t="n">
        <f aca="false">(C$67^2)*F$59</f>
        <v>157421.931466894</v>
      </c>
      <c r="O105" s="20" t="n">
        <f aca="false">((K105/N105)+L105+M105)*B$87/(C$67^2)</f>
        <v>33.3098560724248</v>
      </c>
      <c r="P105" s="20" t="n">
        <f aca="false">O105^(1/2)</f>
        <v>5.77146914333125</v>
      </c>
    </row>
    <row r="106" customFormat="false" ht="17.35" hidden="false" customHeight="false" outlineLevel="0" collapsed="false">
      <c r="A106" s="38" t="s">
        <v>83</v>
      </c>
      <c r="B106" s="20" t="n">
        <f aca="false">(C106-D$68)/C$67</f>
        <v>496.135552221797</v>
      </c>
      <c r="C106" s="20" t="n">
        <f aca="false">SUM(D106:J106)/B$22</f>
        <v>200</v>
      </c>
      <c r="D106" s="9" t="n">
        <v>200</v>
      </c>
      <c r="E106" s="9" t="n">
        <v>200</v>
      </c>
      <c r="F106" s="9"/>
      <c r="G106" s="9"/>
      <c r="H106" s="9"/>
      <c r="I106" s="9"/>
      <c r="J106" s="9"/>
      <c r="K106" s="20" t="n">
        <f aca="false">(C106-E$45)^2</f>
        <v>1104.05165289256</v>
      </c>
      <c r="L106" s="20" t="n">
        <f aca="false">1/$B$21</f>
        <v>0.0909090909090909</v>
      </c>
      <c r="M106" s="6" t="n">
        <f aca="false">1/$B$22</f>
        <v>0.5</v>
      </c>
      <c r="N106" s="20" t="n">
        <f aca="false">(C$67^2)*F$59</f>
        <v>157421.931466894</v>
      </c>
      <c r="O106" s="20" t="n">
        <f aca="false">((K106/N106)+L106+M106)*B$87/(C$67^2)</f>
        <v>33.6860470955779</v>
      </c>
      <c r="P106" s="20" t="n">
        <f aca="false">O106^(1/2)</f>
        <v>5.80396821972501</v>
      </c>
    </row>
    <row r="107" customFormat="false" ht="17.35" hidden="false" customHeight="false" outlineLevel="0" collapsed="false">
      <c r="A107" s="38" t="s">
        <v>83</v>
      </c>
      <c r="B107" s="20" t="n">
        <f aca="false">(C107-D$68)/C$67</f>
        <v>335.990068497134</v>
      </c>
      <c r="C107" s="20" t="n">
        <f aca="false">SUM(D107:J107)/B$22</f>
        <v>135.5</v>
      </c>
      <c r="D107" s="9" t="n">
        <v>135</v>
      </c>
      <c r="E107" s="9" t="n">
        <v>136</v>
      </c>
      <c r="F107" s="9"/>
      <c r="G107" s="9"/>
      <c r="H107" s="9"/>
      <c r="I107" s="9"/>
      <c r="J107" s="9"/>
      <c r="K107" s="20" t="n">
        <f aca="false">(C107-E$45)^2</f>
        <v>977.983471074381</v>
      </c>
      <c r="L107" s="20" t="n">
        <f aca="false">1/$B$21</f>
        <v>0.0909090909090909</v>
      </c>
      <c r="M107" s="6" t="n">
        <f aca="false">1/$B$22</f>
        <v>0.5</v>
      </c>
      <c r="N107" s="20" t="n">
        <f aca="false">(C$67^2)*F$59</f>
        <v>157421.931466894</v>
      </c>
      <c r="O107" s="20" t="n">
        <f aca="false">((K107/N107)+L107+M107)*B$87/(C$67^2)</f>
        <v>33.6409295498939</v>
      </c>
      <c r="P107" s="20" t="n">
        <f aca="false">O107^(1/2)</f>
        <v>5.80008013305799</v>
      </c>
    </row>
    <row r="108" customFormat="false" ht="17.35" hidden="false" customHeight="false" outlineLevel="0" collapsed="false">
      <c r="A108" s="38" t="s">
        <v>83</v>
      </c>
      <c r="B108" s="20" t="n">
        <f aca="false">(C108-D$68)/C$67</f>
        <v>697.248485271373</v>
      </c>
      <c r="C108" s="20" t="n">
        <f aca="false">SUM(D108:J108)/B$22</f>
        <v>281</v>
      </c>
      <c r="D108" s="9" t="n">
        <v>280</v>
      </c>
      <c r="E108" s="9" t="n">
        <v>282</v>
      </c>
      <c r="F108" s="9"/>
      <c r="G108" s="9"/>
      <c r="H108" s="9"/>
      <c r="I108" s="9"/>
      <c r="J108" s="9"/>
      <c r="K108" s="20" t="n">
        <f aca="false">(C108-E$45)^2</f>
        <v>13047.8698347107</v>
      </c>
      <c r="L108" s="20" t="n">
        <f aca="false">1/$B$21</f>
        <v>0.0909090909090909</v>
      </c>
      <c r="M108" s="6" t="n">
        <f aca="false">1/$B$22</f>
        <v>0.5</v>
      </c>
      <c r="N108" s="20" t="n">
        <f aca="false">(C$67^2)*F$59</f>
        <v>157421.931466894</v>
      </c>
      <c r="O108" s="20" t="n">
        <f aca="false">((K108/N108)+L108+M108)*B$87/(C$67^2)</f>
        <v>37.9605258315111</v>
      </c>
      <c r="P108" s="20" t="n">
        <f aca="false">O108^(1/2)</f>
        <v>6.16121139318487</v>
      </c>
    </row>
    <row r="109" customFormat="false" ht="17.35" hidden="false" customHeight="false" outlineLevel="0" collapsed="false">
      <c r="A109" s="38" t="s">
        <v>83</v>
      </c>
      <c r="B109" s="20" t="n">
        <f aca="false">(C109-D$68)/C$67</f>
        <v>806.495016804476</v>
      </c>
      <c r="C109" s="20" t="n">
        <f aca="false">SUM(D109:J109)/B$22</f>
        <v>325</v>
      </c>
      <c r="D109" s="9" t="n">
        <v>324</v>
      </c>
      <c r="E109" s="9" t="n">
        <v>326</v>
      </c>
      <c r="F109" s="9"/>
      <c r="G109" s="9"/>
      <c r="H109" s="9"/>
      <c r="I109" s="9"/>
      <c r="J109" s="9"/>
      <c r="K109" s="20" t="n">
        <f aca="false">(C109-E$45)^2</f>
        <v>25035.8698347107</v>
      </c>
      <c r="L109" s="20" t="n">
        <f aca="false">1/$B$21</f>
        <v>0.0909090909090909</v>
      </c>
      <c r="M109" s="6" t="n">
        <f aca="false">1/$B$22</f>
        <v>0.5</v>
      </c>
      <c r="N109" s="20" t="n">
        <f aca="false">(C$67^2)*F$59</f>
        <v>157421.931466894</v>
      </c>
      <c r="O109" s="20" t="n">
        <f aca="false">((K109/N109)+L109+M109)*B$87/(C$67^2)</f>
        <v>42.250816449328</v>
      </c>
      <c r="P109" s="20" t="n">
        <f aca="false">O109^(1/2)</f>
        <v>6.50006280349106</v>
      </c>
    </row>
    <row r="110" customFormat="false" ht="17.35" hidden="false" customHeight="false" outlineLevel="0" collapsed="false">
      <c r="A110" s="38" t="s">
        <v>83</v>
      </c>
      <c r="B110" s="20" t="n">
        <f aca="false">(C110-D$68)/C$67</f>
        <v>907.051483329264</v>
      </c>
      <c r="C110" s="20" t="n">
        <f aca="false">SUM(D110:J110)/B$22</f>
        <v>365.5</v>
      </c>
      <c r="D110" s="9" t="n">
        <v>365</v>
      </c>
      <c r="E110" s="9" t="n">
        <v>366</v>
      </c>
      <c r="F110" s="9"/>
      <c r="G110" s="9"/>
      <c r="H110" s="9"/>
      <c r="I110" s="9"/>
      <c r="J110" s="9"/>
      <c r="K110" s="20" t="n">
        <f aca="false">(C110-E$45)^2</f>
        <v>39492.5289256198</v>
      </c>
      <c r="L110" s="20" t="n">
        <f aca="false">1/$B$21</f>
        <v>0.0909090909090909</v>
      </c>
      <c r="M110" s="6" t="n">
        <f aca="false">1/$B$22</f>
        <v>0.5</v>
      </c>
      <c r="N110" s="20" t="n">
        <f aca="false">(C$67^2)*F$59</f>
        <v>157421.931466894</v>
      </c>
      <c r="O110" s="20" t="n">
        <f aca="false">((K110/N110)+L110+M110)*B$87/(C$67^2)</f>
        <v>47.4245959674049</v>
      </c>
      <c r="P110" s="20" t="n">
        <f aca="false">O110^(1/2)</f>
        <v>6.8865518198446</v>
      </c>
    </row>
    <row r="111" customFormat="false" ht="17.35" hidden="false" customHeight="false" outlineLevel="0" collapsed="false">
      <c r="A111" s="38"/>
    </row>
    <row r="115" customFormat="false" ht="17.35" hidden="false" customHeight="false" outlineLevel="0" collapsed="false">
      <c r="A115" s="30" t="s">
        <v>84</v>
      </c>
    </row>
    <row r="117" customFormat="false" ht="15" hidden="false" customHeight="false" outlineLevel="0" collapsed="false">
      <c r="L117" s="41" t="n">
        <f aca="false">(SUM(D8:D18)/B21)^2</f>
        <v>383.803719008264</v>
      </c>
      <c r="N117" s="42" t="n">
        <f aca="false">(B4*E45)^2</f>
        <v>69.5328564049587</v>
      </c>
    </row>
    <row r="130" customFormat="false" ht="44" hidden="false" customHeight="true" outlineLevel="0" collapsed="false">
      <c r="A130" s="12" t="s">
        <v>71</v>
      </c>
      <c r="B130" s="0" t="s">
        <v>72</v>
      </c>
      <c r="C130" s="0" t="s">
        <v>73</v>
      </c>
      <c r="D130" s="0" t="s">
        <v>23</v>
      </c>
      <c r="E130" s="0" t="s">
        <v>24</v>
      </c>
      <c r="F130" s="0" t="s">
        <v>25</v>
      </c>
      <c r="G130" s="0" t="s">
        <v>26</v>
      </c>
      <c r="H130" s="0" t="s">
        <v>27</v>
      </c>
      <c r="I130" s="0" t="s">
        <v>28</v>
      </c>
      <c r="J130" s="0" t="s">
        <v>29</v>
      </c>
      <c r="K130" s="14" t="s">
        <v>85</v>
      </c>
      <c r="L130" s="14" t="s">
        <v>86</v>
      </c>
      <c r="U130" s="28" t="s">
        <v>80</v>
      </c>
      <c r="V130" s="15" t="s">
        <v>81</v>
      </c>
      <c r="W130" s="15" t="s">
        <v>82</v>
      </c>
    </row>
    <row r="131" customFormat="false" ht="17.35" hidden="false" customHeight="false" outlineLevel="0" collapsed="false">
      <c r="A131" s="38" t="s">
        <v>83</v>
      </c>
      <c r="B131" s="20" t="n">
        <f aca="false">(C131-D$68)/C$67</f>
        <v>0.80184674784093</v>
      </c>
      <c r="C131" s="20" t="n">
        <f aca="false">SUM(D131:J131)/B$22</f>
        <v>0.5</v>
      </c>
      <c r="D131" s="9" t="n">
        <v>0</v>
      </c>
      <c r="E131" s="9" t="n">
        <v>1</v>
      </c>
      <c r="F131" s="43" t="n">
        <v>0</v>
      </c>
      <c r="G131" s="43" t="n">
        <v>0</v>
      </c>
      <c r="H131" s="43" t="n">
        <v>0</v>
      </c>
      <c r="I131" s="43" t="n">
        <v>0</v>
      </c>
      <c r="J131" s="43" t="n">
        <v>0</v>
      </c>
      <c r="K131" s="20" t="n">
        <f aca="false">B131-D$45</f>
        <v>-412.834516888523</v>
      </c>
      <c r="L131" s="20" t="n">
        <f aca="false">K131^2</f>
        <v>170432.33833458</v>
      </c>
      <c r="M131" s="20" t="n">
        <f aca="false">(1/B$21+L131/F$59)*N$117</f>
        <v>18.5326086132653</v>
      </c>
      <c r="O131" s="20" t="n">
        <f aca="false">(C$67^2)*((L131*J$59/(F$59^2))+L$117)</f>
        <v>80.2242400315996</v>
      </c>
      <c r="S131" s="20" t="n">
        <f aca="false">(M131+O131)^(1/2)</f>
        <v>9.9376480439219</v>
      </c>
      <c r="U131" s="39" t="n">
        <f aca="false">AVERAGE(S131:S141)</f>
        <v>9.12638292760434</v>
      </c>
      <c r="V131" s="40" t="n">
        <f aca="false">U131*2</f>
        <v>18.2527658552087</v>
      </c>
      <c r="W131" s="40" t="n">
        <f aca="false">U131*3</f>
        <v>27.379148782813</v>
      </c>
    </row>
    <row r="132" customFormat="false" ht="17.35" hidden="false" customHeight="false" outlineLevel="0" collapsed="false">
      <c r="A132" s="38" t="s">
        <v>83</v>
      </c>
      <c r="B132" s="20" t="n">
        <f aca="false">(C132-D$68)/C$67</f>
        <v>50.4593610810696</v>
      </c>
      <c r="C132" s="20" t="n">
        <f aca="false">SUM(D132:J132)/B$22</f>
        <v>20.5</v>
      </c>
      <c r="D132" s="9" t="n">
        <v>20</v>
      </c>
      <c r="E132" s="9" t="n">
        <v>21</v>
      </c>
      <c r="F132" s="43" t="n">
        <v>0</v>
      </c>
      <c r="G132" s="43" t="n">
        <v>0</v>
      </c>
      <c r="H132" s="43" t="n">
        <v>0</v>
      </c>
      <c r="I132" s="43" t="n">
        <v>0</v>
      </c>
      <c r="J132" s="43" t="n">
        <v>0</v>
      </c>
      <c r="K132" s="20" t="n">
        <f aca="false">B132-D$45</f>
        <v>-363.177002555294</v>
      </c>
      <c r="L132" s="20" t="n">
        <f aca="false">K132^2</f>
        <v>131897.535185048</v>
      </c>
      <c r="M132" s="20" t="n">
        <f aca="false">(1/B$21+L132/F$59)*N$117</f>
        <v>15.7715983768356</v>
      </c>
      <c r="O132" s="20" t="n">
        <f aca="false">(C$67^2)*((L132*J$59/(F$59^2))+L$117)</f>
        <v>76.1621990602087</v>
      </c>
      <c r="S132" s="20" t="n">
        <f aca="false">(M132+O132)^(1/2)</f>
        <v>9.58821137840861</v>
      </c>
      <c r="V132" s="44"/>
    </row>
    <row r="133" customFormat="false" ht="17.35" hidden="false" customHeight="false" outlineLevel="0" collapsed="false">
      <c r="A133" s="38" t="s">
        <v>83</v>
      </c>
      <c r="B133" s="20" t="n">
        <f aca="false">(C133-D$68)/C$67</f>
        <v>100.116875414298</v>
      </c>
      <c r="C133" s="20" t="n">
        <f aca="false">SUM(D133:J133)/B$22</f>
        <v>40.5</v>
      </c>
      <c r="D133" s="9" t="n">
        <v>40</v>
      </c>
      <c r="E133" s="9" t="n">
        <v>41</v>
      </c>
      <c r="F133" s="43" t="n">
        <v>0</v>
      </c>
      <c r="G133" s="43" t="n">
        <v>0</v>
      </c>
      <c r="H133" s="43" t="n">
        <v>0</v>
      </c>
      <c r="I133" s="43" t="n">
        <v>0</v>
      </c>
      <c r="J133" s="43" t="n">
        <v>0</v>
      </c>
      <c r="K133" s="20" t="n">
        <f aca="false">B133-D$45</f>
        <v>-313.519488222066</v>
      </c>
      <c r="L133" s="20" t="n">
        <f aca="false">K133^2</f>
        <v>98294.469495026</v>
      </c>
      <c r="M133" s="20" t="n">
        <f aca="false">(1/B$21+L133/F$59)*N$117</f>
        <v>13.3639460531543</v>
      </c>
      <c r="O133" s="20" t="n">
        <f aca="false">(C$67^2)*((L133*J$59/(F$59^2))+L$117)</f>
        <v>72.6200237163373</v>
      </c>
      <c r="S133" s="20" t="n">
        <f aca="false">(M133+O133)^(1/2)</f>
        <v>9.27275416311096</v>
      </c>
      <c r="V133" s="44"/>
    </row>
    <row r="134" customFormat="false" ht="17.35" hidden="false" customHeight="false" outlineLevel="0" collapsed="false">
      <c r="A134" s="38" t="s">
        <v>83</v>
      </c>
      <c r="B134" s="20" t="n">
        <f aca="false">(C134-D$68)/C$67</f>
        <v>200.673341939086</v>
      </c>
      <c r="C134" s="20" t="n">
        <f aca="false">SUM(D134:J134)/B$22</f>
        <v>81</v>
      </c>
      <c r="D134" s="9" t="n">
        <v>80</v>
      </c>
      <c r="E134" s="9" t="n">
        <v>82</v>
      </c>
      <c r="F134" s="43" t="n">
        <v>0</v>
      </c>
      <c r="G134" s="43" t="n">
        <v>0</v>
      </c>
      <c r="H134" s="43" t="n">
        <v>0</v>
      </c>
      <c r="I134" s="43" t="n">
        <v>0</v>
      </c>
      <c r="J134" s="43" t="n">
        <v>0</v>
      </c>
      <c r="K134" s="20" t="n">
        <f aca="false">B134-D$45</f>
        <v>-212.963021697278</v>
      </c>
      <c r="L134" s="20" t="n">
        <f aca="false">K134^2</f>
        <v>45353.2486104352</v>
      </c>
      <c r="M134" s="20" t="n">
        <f aca="false">(1/B$21+L134/F$59)*N$117</f>
        <v>9.57071912983943</v>
      </c>
      <c r="O134" s="20" t="n">
        <f aca="false">(C$67^2)*((L134*J$59/(F$59^2))+L$117)</f>
        <v>67.0393695872847</v>
      </c>
      <c r="S134" s="20" t="n">
        <f aca="false">(M134+O134)^(1/2)</f>
        <v>8.7527189328302</v>
      </c>
      <c r="V134" s="44"/>
    </row>
    <row r="135" customFormat="false" ht="17.35" hidden="false" customHeight="false" outlineLevel="0" collapsed="false">
      <c r="A135" s="38" t="s">
        <v>83</v>
      </c>
      <c r="B135" s="20" t="n">
        <f aca="false">(C135-D$68)/C$67</f>
        <v>311.16131133052</v>
      </c>
      <c r="C135" s="20" t="n">
        <f aca="false">SUM(D135:J135)/B$22</f>
        <v>125.5</v>
      </c>
      <c r="D135" s="9" t="n">
        <v>125</v>
      </c>
      <c r="E135" s="9" t="n">
        <v>126</v>
      </c>
      <c r="F135" s="43" t="n">
        <v>0</v>
      </c>
      <c r="G135" s="43" t="n">
        <v>0</v>
      </c>
      <c r="H135" s="43" t="n">
        <v>0</v>
      </c>
      <c r="I135" s="43" t="n">
        <v>0</v>
      </c>
      <c r="J135" s="43" t="n">
        <v>0</v>
      </c>
      <c r="K135" s="20" t="n">
        <f aca="false">B135-D$45</f>
        <v>-102.475052305844</v>
      </c>
      <c r="L135" s="20" t="n">
        <f aca="false">K135^2</f>
        <v>10501.1363450854</v>
      </c>
      <c r="M135" s="20" t="n">
        <f aca="false">(1/B$21+L135/F$59)*N$117</f>
        <v>7.07357289160836</v>
      </c>
      <c r="O135" s="20" t="n">
        <f aca="false">(C$67^2)*((L135*J$59/(F$59^2))+L$117)</f>
        <v>63.3655294118981</v>
      </c>
      <c r="S135" s="20" t="n">
        <f aca="false">(M135+O135)^(1/2)</f>
        <v>8.39280062336205</v>
      </c>
      <c r="V135" s="44"/>
    </row>
    <row r="136" customFormat="false" ht="17.35" hidden="false" customHeight="false" outlineLevel="0" collapsed="false">
      <c r="A136" s="38" t="s">
        <v>83</v>
      </c>
      <c r="B136" s="20" t="n">
        <f aca="false">(C136-D$68)/C$67</f>
        <v>395.579085697009</v>
      </c>
      <c r="C136" s="20" t="n">
        <f aca="false">SUM(D136:J136)/B$22</f>
        <v>159.5</v>
      </c>
      <c r="D136" s="9" t="n">
        <v>160</v>
      </c>
      <c r="E136" s="9" t="n">
        <v>159</v>
      </c>
      <c r="F136" s="43" t="n">
        <v>0</v>
      </c>
      <c r="G136" s="43" t="n">
        <v>0</v>
      </c>
      <c r="H136" s="43" t="n">
        <v>0</v>
      </c>
      <c r="I136" s="43" t="n">
        <v>0</v>
      </c>
      <c r="J136" s="43" t="n">
        <v>0</v>
      </c>
      <c r="K136" s="20" t="n">
        <f aca="false">B136-D$45</f>
        <v>-18.0572779393551</v>
      </c>
      <c r="L136" s="20" t="n">
        <f aca="false">K136^2</f>
        <v>326.065286579119</v>
      </c>
      <c r="M136" s="20" t="n">
        <f aca="false">(1/B$21+L136/F$59)*N$117</f>
        <v>6.34453127071515</v>
      </c>
      <c r="O136" s="20" t="n">
        <f aca="false">(C$67^2)*((L136*J$59/(F$59^2))+L$117)</f>
        <v>62.2929521013022</v>
      </c>
      <c r="S136" s="20" t="n">
        <f aca="false">(M136+O136)^(1/2)</f>
        <v>8.28477418956108</v>
      </c>
      <c r="V136" s="44"/>
    </row>
    <row r="137" customFormat="false" ht="17.35" hidden="false" customHeight="false" outlineLevel="0" collapsed="false">
      <c r="A137" s="38" t="s">
        <v>83</v>
      </c>
      <c r="B137" s="20" t="n">
        <f aca="false">(C137-D$68)/C$67</f>
        <v>496.135552221797</v>
      </c>
      <c r="C137" s="20" t="n">
        <f aca="false">SUM(D137:J137)/B$22</f>
        <v>200</v>
      </c>
      <c r="D137" s="9" t="n">
        <v>200</v>
      </c>
      <c r="E137" s="9" t="n">
        <v>200</v>
      </c>
      <c r="F137" s="43" t="n">
        <v>0</v>
      </c>
      <c r="G137" s="43" t="n">
        <v>0</v>
      </c>
      <c r="H137" s="43" t="n">
        <v>0</v>
      </c>
      <c r="I137" s="43" t="n">
        <v>0</v>
      </c>
      <c r="J137" s="43" t="n">
        <v>0</v>
      </c>
      <c r="K137" s="20" t="n">
        <f aca="false">B137-D$45</f>
        <v>82.499188585433</v>
      </c>
      <c r="L137" s="20" t="n">
        <f aca="false">K137^2</f>
        <v>6806.11611725484</v>
      </c>
      <c r="M137" s="20" t="n">
        <f aca="false">(1/B$21+L137/F$59)*N$117</f>
        <v>6.80882549862787</v>
      </c>
      <c r="O137" s="20" t="n">
        <f aca="false">(C$67^2)*((L137*J$59/(F$59^2))+L$117)</f>
        <v>62.9760289518251</v>
      </c>
      <c r="S137" s="20" t="n">
        <f aca="false">(M137+O137)^(1/2)</f>
        <v>8.35373296499553</v>
      </c>
      <c r="V137" s="44"/>
    </row>
    <row r="138" customFormat="false" ht="17.35" hidden="false" customHeight="false" outlineLevel="0" collapsed="false">
      <c r="A138" s="38" t="s">
        <v>83</v>
      </c>
      <c r="B138" s="20" t="n">
        <f aca="false">(C138-D$68)/C$67</f>
        <v>335.990068497134</v>
      </c>
      <c r="C138" s="20" t="n">
        <f aca="false">SUM(D138:J138)/B$22</f>
        <v>135.5</v>
      </c>
      <c r="D138" s="9" t="n">
        <v>135</v>
      </c>
      <c r="E138" s="9" t="n">
        <v>136</v>
      </c>
      <c r="F138" s="43" t="n">
        <v>0</v>
      </c>
      <c r="G138" s="43" t="n">
        <v>0</v>
      </c>
      <c r="H138" s="43" t="n">
        <v>0</v>
      </c>
      <c r="I138" s="43" t="n">
        <v>0</v>
      </c>
      <c r="J138" s="43" t="n">
        <v>0</v>
      </c>
      <c r="K138" s="20" t="n">
        <f aca="false">B138-D$45</f>
        <v>-77.6462951392295</v>
      </c>
      <c r="L138" s="20" t="n">
        <f aca="false">K138^2</f>
        <v>6028.94714884833</v>
      </c>
      <c r="M138" s="20" t="n">
        <f aca="false">(1/B$21+L138/F$59)*N$117</f>
        <v>6.75314151163877</v>
      </c>
      <c r="O138" s="20" t="n">
        <f aca="false">(C$67^2)*((L138*J$59/(F$59^2))+L$117)</f>
        <v>62.8941058087611</v>
      </c>
      <c r="S138" s="20" t="n">
        <f aca="false">(M138+O138)^(1/2)</f>
        <v>8.34549263497368</v>
      </c>
      <c r="V138" s="44"/>
    </row>
    <row r="139" customFormat="false" ht="17.35" hidden="false" customHeight="false" outlineLevel="0" collapsed="false">
      <c r="A139" s="38" t="s">
        <v>83</v>
      </c>
      <c r="B139" s="20" t="n">
        <f aca="false">(C139-D$68)/C$67</f>
        <v>697.248485271373</v>
      </c>
      <c r="C139" s="20" t="n">
        <f aca="false">SUM(D139:J139)/B$22</f>
        <v>281</v>
      </c>
      <c r="D139" s="9" t="n">
        <v>280</v>
      </c>
      <c r="E139" s="9" t="n">
        <v>282</v>
      </c>
      <c r="F139" s="43" t="n">
        <v>0</v>
      </c>
      <c r="G139" s="43" t="n">
        <v>0</v>
      </c>
      <c r="H139" s="43" t="n">
        <v>0</v>
      </c>
      <c r="I139" s="43" t="n">
        <v>0</v>
      </c>
      <c r="J139" s="43" t="n">
        <v>0</v>
      </c>
      <c r="K139" s="20" t="n">
        <f aca="false">B139-D$45</f>
        <v>283.612121635009</v>
      </c>
      <c r="L139" s="20" t="n">
        <f aca="false">K139^2</f>
        <v>80435.8355383112</v>
      </c>
      <c r="M139" s="20" t="n">
        <f aca="false">(1/B$21+L139/F$59)*N$117</f>
        <v>12.0843788273453</v>
      </c>
      <c r="O139" s="20" t="n">
        <f aca="false">(C$67^2)*((L139*J$59/(F$59^2))+L$117)</f>
        <v>70.7375046194121</v>
      </c>
      <c r="S139" s="20" t="n">
        <f aca="false">(M139+O139)^(1/2)</f>
        <v>9.10065291321218</v>
      </c>
      <c r="V139" s="44"/>
    </row>
    <row r="140" customFormat="false" ht="17.35" hidden="false" customHeight="false" outlineLevel="0" collapsed="false">
      <c r="A140" s="38" t="s">
        <v>83</v>
      </c>
      <c r="B140" s="20" t="n">
        <f aca="false">(C140-D$68)/C$67</f>
        <v>806.495016804476</v>
      </c>
      <c r="C140" s="20" t="n">
        <f aca="false">SUM(D140:J140)/B$22</f>
        <v>325</v>
      </c>
      <c r="D140" s="9" t="n">
        <v>324</v>
      </c>
      <c r="E140" s="9" t="n">
        <v>326</v>
      </c>
      <c r="F140" s="43" t="n">
        <v>0</v>
      </c>
      <c r="G140" s="43" t="n">
        <v>0</v>
      </c>
      <c r="H140" s="43" t="n">
        <v>0</v>
      </c>
      <c r="I140" s="43" t="n">
        <v>0</v>
      </c>
      <c r="J140" s="43" t="n">
        <v>0</v>
      </c>
      <c r="K140" s="20" t="n">
        <f aca="false">B140-D$45</f>
        <v>392.858653168112</v>
      </c>
      <c r="L140" s="20" t="n">
        <f aca="false">K140^2</f>
        <v>154337.921369063</v>
      </c>
      <c r="M140" s="20" t="n">
        <f aca="false">(1/B$21+L140/F$59)*N$117</f>
        <v>17.3794471498805</v>
      </c>
      <c r="O140" s="20" t="n">
        <f aca="false">(C$67^2)*((L140*J$59/(F$59^2))+L$117)</f>
        <v>78.5276910477916</v>
      </c>
      <c r="S140" s="20" t="n">
        <f aca="false">(M140+O140)^(1/2)</f>
        <v>9.79321899059099</v>
      </c>
      <c r="V140" s="44"/>
    </row>
    <row r="141" customFormat="false" ht="17.35" hidden="false" customHeight="false" outlineLevel="0" collapsed="false">
      <c r="A141" s="38" t="s">
        <v>83</v>
      </c>
      <c r="B141" s="20" t="n">
        <f aca="false">(C141-D$68)/C$67</f>
        <v>907.051483329264</v>
      </c>
      <c r="C141" s="20" t="n">
        <f aca="false">SUM(D141:J141)/B$22</f>
        <v>365.5</v>
      </c>
      <c r="D141" s="9" t="n">
        <v>365</v>
      </c>
      <c r="E141" s="9" t="n">
        <v>366</v>
      </c>
      <c r="F141" s="43" t="n">
        <v>0</v>
      </c>
      <c r="G141" s="43" t="n">
        <v>0</v>
      </c>
      <c r="H141" s="43" t="n">
        <v>0</v>
      </c>
      <c r="I141" s="43" t="n">
        <v>0</v>
      </c>
      <c r="J141" s="43" t="n">
        <v>0</v>
      </c>
      <c r="K141" s="20" t="n">
        <f aca="false">B141-D$45</f>
        <v>493.4151196929</v>
      </c>
      <c r="L141" s="20" t="n">
        <f aca="false">K141^2</f>
        <v>243458.480341559</v>
      </c>
      <c r="M141" s="20" t="n">
        <f aca="false">(1/B$21+L141/F$59)*N$117</f>
        <v>23.7649157519794</v>
      </c>
      <c r="O141" s="20" t="n">
        <f aca="false">(C$67^2)*((L141*J$59/(F$59^2))+L$117)</f>
        <v>87.922091235455</v>
      </c>
      <c r="S141" s="20" t="n">
        <f aca="false">(M141+O141)^(1/2)</f>
        <v>10.5682073686806</v>
      </c>
      <c r="V141" s="44"/>
    </row>
  </sheetData>
  <mergeCells count="5">
    <mergeCell ref="C24:J24"/>
    <mergeCell ref="A25:A26"/>
    <mergeCell ref="A67:B67"/>
    <mergeCell ref="A68:B68"/>
    <mergeCell ref="A69:B69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&amp;CСтраница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166</TotalTime>
  <Application>LibreOffice/6.4.5.2$Windows_X86_64 LibreOffice_project/a726b36747cf2001e06b58ad5db1aa3a9a1872d6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2020-09-13T11:08:14Z</dcterms:created>
  <dc:creator/>
  <dc:description/>
  <dc:language>ru-RU</dc:language>
  <cp:lastModifiedBy/>
  <dcterms:modified xsi:type="dcterms:W3CDTF">2020-10-31T13:13:21Z</dcterms:modified>
  <cp:revision>44</cp:revision>
  <dc:subject/>
  <dc:title/>
</cp:coreProperties>
</file>