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taev\Desktop\Работа в ЛИС и настройка\Неопределеннность\"/>
    </mc:Choice>
  </mc:AlternateContent>
  <bookViews>
    <workbookView xWindow="0" yWindow="0" windowWidth="16380" windowHeight="8190" tabRatio="500"/>
  </bookViews>
  <sheets>
    <sheet name="Uncertainity GUM" sheetId="1" r:id="rId1"/>
  </sheet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E47" i="1" l="1"/>
  <c r="D47" i="1"/>
  <c r="C47" i="1"/>
  <c r="B47" i="1"/>
  <c r="E46" i="1"/>
  <c r="C46" i="1"/>
  <c r="B46" i="1"/>
  <c r="E45" i="1"/>
  <c r="D45" i="1"/>
  <c r="B45" i="1"/>
  <c r="E42" i="1"/>
  <c r="D42" i="1"/>
  <c r="D46" i="1" s="1"/>
  <c r="C42" i="1"/>
  <c r="C45" i="1" s="1"/>
  <c r="B41" i="1"/>
  <c r="E40" i="1"/>
  <c r="D40" i="1"/>
  <c r="C40" i="1"/>
  <c r="A31" i="1"/>
  <c r="B29" i="1"/>
  <c r="A27" i="1"/>
  <c r="A25" i="1"/>
  <c r="B23" i="1"/>
  <c r="B22" i="1"/>
  <c r="B21" i="1"/>
  <c r="B20" i="1"/>
  <c r="B19" i="1"/>
  <c r="B18" i="1"/>
  <c r="B17" i="1"/>
  <c r="B25" i="1" s="1"/>
  <c r="B36" i="1" s="1"/>
  <c r="B16" i="1"/>
  <c r="B15" i="1"/>
  <c r="B27" i="1" s="1"/>
  <c r="B58" i="1" l="1"/>
  <c r="D44" i="1"/>
  <c r="D48" i="1" s="1"/>
  <c r="C44" i="1"/>
  <c r="C48" i="1" s="1"/>
  <c r="B44" i="1"/>
  <c r="B48" i="1" s="1"/>
  <c r="B42" i="1"/>
  <c r="E44" i="1"/>
  <c r="E48" i="1" s="1"/>
  <c r="B37" i="1"/>
  <c r="B40" i="1" s="1"/>
  <c r="B31" i="1"/>
  <c r="E50" i="1" l="1"/>
  <c r="E51" i="1" s="1"/>
  <c r="E52" i="1" s="1"/>
  <c r="D50" i="1"/>
  <c r="D51" i="1" s="1"/>
  <c r="D52" i="1" s="1"/>
  <c r="B49" i="1"/>
  <c r="B50" i="1" s="1"/>
  <c r="B51" i="1" s="1"/>
  <c r="B52" i="1" s="1"/>
  <c r="E49" i="1"/>
  <c r="D49" i="1"/>
  <c r="C49" i="1"/>
  <c r="C50" i="1" s="1"/>
  <c r="C51" i="1" s="1"/>
  <c r="C52" i="1" s="1"/>
  <c r="B54" i="1" l="1"/>
  <c r="B53" i="1"/>
  <c r="C54" i="1"/>
  <c r="C53" i="1"/>
  <c r="D54" i="1"/>
  <c r="D53" i="1"/>
  <c r="E54" i="1"/>
  <c r="E53" i="1"/>
  <c r="C58" i="1" l="1"/>
  <c r="D58" i="1" l="1"/>
  <c r="E58" i="1" s="1"/>
  <c r="F58" i="1" s="1"/>
</calcChain>
</file>

<file path=xl/sharedStrings.xml><?xml version="1.0" encoding="utf-8"?>
<sst xmlns="http://schemas.openxmlformats.org/spreadsheetml/2006/main" count="83" uniqueCount="76">
  <si>
    <t>РАСЧЕТ НЕОПРЕДЕЛЕННОСТИ ИЗМЕРЕНИЯ СОДЕРЖАНИЯ Д.В. (GUM)</t>
  </si>
  <si>
    <t>Модельное уравнение измерения</t>
  </si>
  <si>
    <t>Коэффициенты регрессии</t>
  </si>
  <si>
    <r>
      <rPr>
        <sz val="10"/>
        <rFont val="Arial"/>
        <family val="2"/>
        <charset val="204"/>
      </rPr>
      <t xml:space="preserve">В данной модели мы не рассматриваем ошибки коэффициентов </t>
    </r>
    <r>
      <rPr>
        <i/>
        <sz val="10"/>
        <rFont val="Arial"/>
        <family val="2"/>
        <charset val="204"/>
      </rPr>
      <t>b</t>
    </r>
    <r>
      <rPr>
        <sz val="10"/>
        <rFont val="Arial"/>
        <family val="2"/>
        <charset val="204"/>
      </rPr>
      <t xml:space="preserve"> и </t>
    </r>
    <r>
      <rPr>
        <i/>
        <sz val="10"/>
        <rFont val="Arial"/>
        <family val="2"/>
        <charset val="204"/>
      </rPr>
      <t>a</t>
    </r>
  </si>
  <si>
    <t>a, [у.е]</t>
  </si>
  <si>
    <t>b, [1/мкг]</t>
  </si>
  <si>
    <t>Исходные данные Y</t>
  </si>
  <si>
    <t>Исходные данные X (рассчет по калибровке)</t>
  </si>
  <si>
    <t>среднее знач.</t>
  </si>
  <si>
    <t>берем как Х в ячейку В39</t>
  </si>
  <si>
    <t>СКО</t>
  </si>
  <si>
    <t>берем как СКО Х, неопределенность считаем по формуле ст.ошибки в ячейке В40</t>
  </si>
  <si>
    <t>Количество измерений</t>
  </si>
  <si>
    <t>Критерий Горвица</t>
  </si>
  <si>
    <t>RSDr</t>
  </si>
  <si>
    <t>Оборудование СИ (включая мерную посуду)</t>
  </si>
  <si>
    <t>Спектрофотометр, Х [мкг]</t>
  </si>
  <si>
    <r>
      <rPr>
        <b/>
        <sz val="10"/>
        <rFont val="Arial"/>
        <family val="2"/>
        <charset val="204"/>
      </rPr>
      <t xml:space="preserve">Мерная колба, </t>
    </r>
    <r>
      <rPr>
        <b/>
        <sz val="12"/>
        <rFont val="Times New Roman"/>
        <family val="1"/>
        <charset val="204"/>
      </rPr>
      <t>V</t>
    </r>
    <r>
      <rPr>
        <b/>
        <vertAlign val="subscript"/>
        <sz val="12"/>
        <rFont val="Times New Roman"/>
        <family val="1"/>
        <charset val="204"/>
      </rPr>
      <t>0</t>
    </r>
    <r>
      <rPr>
        <b/>
        <sz val="12"/>
        <rFont val="Times New Roman"/>
        <family val="1"/>
        <charset val="204"/>
      </rPr>
      <t>,[мл]</t>
    </r>
  </si>
  <si>
    <t>Весы аналитические, m, [г]</t>
  </si>
  <si>
    <r>
      <rPr>
        <b/>
        <sz val="10"/>
        <rFont val="Arial"/>
        <family val="2"/>
        <charset val="204"/>
      </rPr>
      <t xml:space="preserve">Дозатор, </t>
    </r>
    <r>
      <rPr>
        <b/>
        <i/>
        <sz val="12"/>
        <rFont val="Times New Roman"/>
        <family val="1"/>
        <charset val="204"/>
      </rPr>
      <t>V</t>
    </r>
    <r>
      <rPr>
        <b/>
        <i/>
        <vertAlign val="subscript"/>
        <sz val="12"/>
        <rFont val="Times New Roman"/>
        <family val="1"/>
        <charset val="204"/>
      </rPr>
      <t>al</t>
    </r>
    <r>
      <rPr>
        <sz val="12"/>
        <rFont val="Times New Roman"/>
        <family val="1"/>
        <charset val="204"/>
      </rPr>
      <t>,</t>
    </r>
    <r>
      <rPr>
        <b/>
        <sz val="12"/>
        <rFont val="Times New Roman"/>
        <family val="1"/>
        <charset val="204"/>
      </rPr>
      <t>[мкл]</t>
    </r>
  </si>
  <si>
    <t>Комментарии к расчету</t>
  </si>
  <si>
    <t>Входные величины</t>
  </si>
  <si>
    <t>1</t>
  </si>
  <si>
    <t>2</t>
  </si>
  <si>
    <t>4</t>
  </si>
  <si>
    <t>Каждую входящую величину пронумеровываем</t>
  </si>
  <si>
    <t xml:space="preserve">Значение входной величины </t>
  </si>
  <si>
    <t>Выписываем значения</t>
  </si>
  <si>
    <t>Границы входной величины</t>
  </si>
  <si>
    <t>Указываем погрешность или неопределенность по типу А (ст.ошибку среднего)</t>
  </si>
  <si>
    <t>Закон распределения</t>
  </si>
  <si>
    <t>А, нормальный</t>
  </si>
  <si>
    <t>В, равномерный</t>
  </si>
  <si>
    <t>Указываем распределение величины для получения коэффициента ниже</t>
  </si>
  <si>
    <t xml:space="preserve">Коэффициент пересчета границ в ст. неопределенность </t>
  </si>
  <si>
    <t>Зависят от распределения, 1 для нормального, 3 для равномерного ли 6 для треугольного</t>
  </si>
  <si>
    <t>Стандартная неопределенность входной величины</t>
  </si>
  <si>
    <t>Число степеней свободы</t>
  </si>
  <si>
    <t>Берется из количества измерений, а для значений погрешности СИ — 10000</t>
  </si>
  <si>
    <t>Приращение (dx) для расчета производной берем одну  тысячную или менее</t>
  </si>
  <si>
    <t>Приращение должно быть достаточно маленьким относительно входящей величины, можно также брать долю от стандартной неопределенности</t>
  </si>
  <si>
    <t xml:space="preserve">Значение величины с добавкой </t>
  </si>
  <si>
    <t>Повторяем те же величины ниже для декомпозиции итоговой формулы, можно вставлять столько параметров, сколько нужно</t>
  </si>
  <si>
    <t>В формуле записано приращение только в том случае, если совпадает величина в строке и столбце.</t>
  </si>
  <si>
    <t>Значение расчетной величины с приращением</t>
  </si>
  <si>
    <r>
      <rPr>
        <sz val="10"/>
        <rFont val="Arial"/>
        <family val="2"/>
        <charset val="204"/>
      </rPr>
      <t xml:space="preserve">Вычисляем искомую величину по формуле выше, при это значение изменяется, поскольку одна входящая величина изменена на величину </t>
    </r>
    <r>
      <rPr>
        <i/>
        <sz val="10"/>
        <rFont val="Arial"/>
        <family val="2"/>
        <charset val="204"/>
      </rPr>
      <t>dx</t>
    </r>
  </si>
  <si>
    <t>Исходное значение расчетной величины</t>
  </si>
  <si>
    <t>Здесь записываем исходную искомую величину (то есть рассчитанное значение без приращений входных величин)</t>
  </si>
  <si>
    <t>Приращение расчетной величины  (dy(x))</t>
  </si>
  <si>
    <t>Здесь необходим вычислить разницу между искомой величиной и искомой величиной с приращенеим.</t>
  </si>
  <si>
    <r>
      <rPr>
        <b/>
        <sz val="12"/>
        <rFont val="Times New Roman"/>
        <family val="1"/>
        <charset val="204"/>
      </rPr>
      <t xml:space="preserve">Расчет коэффициента влияния </t>
    </r>
    <r>
      <rPr>
        <b/>
        <i/>
        <sz val="12"/>
        <rFont val="Times New Roman"/>
        <family val="1"/>
        <charset val="204"/>
      </rPr>
      <t>c</t>
    </r>
    <r>
      <rPr>
        <b/>
        <sz val="12"/>
        <rFont val="Times New Roman"/>
        <family val="1"/>
        <charset val="204"/>
      </rPr>
      <t xml:space="preserve"> (производной)</t>
    </r>
  </si>
  <si>
    <r>
      <rPr>
        <sz val="10"/>
        <rFont val="Arial"/>
        <family val="2"/>
        <charset val="204"/>
      </rPr>
      <t xml:space="preserve">Здесь вычисляем производную для каждой входящей величины </t>
    </r>
    <r>
      <rPr>
        <i/>
        <sz val="10"/>
        <rFont val="Arial"/>
        <family val="2"/>
        <charset val="204"/>
      </rPr>
      <t>d(y(x))/dx</t>
    </r>
  </si>
  <si>
    <t>Вклад неопределенности в итоговую величину</t>
  </si>
  <si>
    <r>
      <rPr>
        <sz val="10"/>
        <rFont val="Arial"/>
        <family val="2"/>
        <charset val="204"/>
      </rPr>
      <t>Здесь вычисляем вклад стандартной неопределенности в искомую расчетную величину(</t>
    </r>
    <r>
      <rPr>
        <i/>
        <sz val="10"/>
        <rFont val="Arial"/>
        <family val="2"/>
        <charset val="204"/>
      </rPr>
      <t>c*u</t>
    </r>
    <r>
      <rPr>
        <sz val="10"/>
        <rFont val="Arial"/>
        <family val="2"/>
        <charset val="204"/>
      </rPr>
      <t>)</t>
    </r>
  </si>
  <si>
    <t>Вклад неопределенности в итоговую величину в квадрате</t>
  </si>
  <si>
    <t>Вклад степеней свободы в эффективное число степеней свободы</t>
  </si>
  <si>
    <t xml:space="preserve">Здесь вычисляем вклад степеней свободы каждой величины в эффективное число степеней свободы
</t>
  </si>
  <si>
    <t>Выходная величина</t>
  </si>
  <si>
    <t>Значение выходной величины, %</t>
  </si>
  <si>
    <t xml:space="preserve">Суммарная стандартная неопределенность </t>
  </si>
  <si>
    <t>Эффективное число степеней свободы</t>
  </si>
  <si>
    <t>Коэффициент охвата</t>
  </si>
  <si>
    <t>Расширенная  неопределенность</t>
  </si>
  <si>
    <t>С, [%]</t>
  </si>
  <si>
    <t>Значение вычисляется по формуле из методики анализа</t>
  </si>
  <si>
    <t>Значение вычисляется по формуле корень квадратный из суммы квадратов входящих неопределенностей</t>
  </si>
  <si>
    <t>Считается от вклада неопределенности каждой входящей величины. Число степеней свободы необходимо для вычисления коэффициента охвата</t>
  </si>
  <si>
    <t>Считаем значение коэффициента Стьюдента от заданных параметров границ достоверности и числа степеней свободы</t>
  </si>
  <si>
    <t>Умножаем стандартную на коэффициент охвата</t>
  </si>
  <si>
    <t>Справочные значения</t>
  </si>
  <si>
    <t>Коэффициент пересчета границ в ст. неопределенность (зависят от распределения, 1, 3 ли 6)</t>
  </si>
  <si>
    <t>Если берется СКО среднего или так называемая стандартная ошибка среднего</t>
  </si>
  <si>
    <t>В, равномерный прямоугольный</t>
  </si>
  <si>
    <t>Если берется равномерное или прямоугольное распределение</t>
  </si>
  <si>
    <t>В, равномерный треугольный</t>
  </si>
  <si>
    <t>Если берется равномерное треугольное распределение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</si>
</sst>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0.0000000"/>
    <numFmt numFmtId="165" formatCode="0.0000"/>
    <numFmt numFmtId="166" formatCode="#,##0.000000"/>
    <numFmt numFmtId="167" formatCode="0.00000"/>
    <numFmt numFmtId="168" formatCode="#,##0.00000000"/>
    <numFmt numFmtId="169" formatCode="0.000%"/>
  </numFmts>
  <fonts count="19" x14ac:knownFonts="1">
    <font>
      <sz val="10"/>
      <name val="Arial"/>
      <family val="2"/>
      <charset val="204"/>
    </font>
    <font>
      <b/>
      <i/>
      <sz val="12"/>
      <name val="Arial Cyr"/>
      <charset val="204"/>
    </font>
    <font>
      <b/>
      <sz val="10"/>
      <name val="Arial Cyr"/>
      <charset val="204"/>
    </font>
    <font>
      <i/>
      <sz val="10"/>
      <name val="Arial"/>
      <family val="2"/>
      <charset val="204"/>
    </font>
    <font>
      <b/>
      <sz val="12"/>
      <color rgb="FFFF0000"/>
      <name val="Times New Roman"/>
      <family val="1"/>
      <charset val="204"/>
    </font>
    <font>
      <sz val="10"/>
      <color rgb="FFFF0000"/>
      <name val="Arial Cyr"/>
      <charset val="204"/>
    </font>
    <font>
      <b/>
      <sz val="12"/>
      <color rgb="FF0000FF"/>
      <name val="Times New Roman"/>
      <family val="1"/>
      <charset val="204"/>
    </font>
    <font>
      <sz val="10"/>
      <color rgb="FF0000FF"/>
      <name val="Arial Cyr"/>
      <charset val="204"/>
    </font>
    <font>
      <b/>
      <i/>
      <sz val="10"/>
      <name val="Arial Cyr"/>
      <charset val="204"/>
    </font>
    <font>
      <sz val="11"/>
      <color rgb="FF000000"/>
      <name val="Calibri"/>
      <family val="2"/>
      <charset val="204"/>
    </font>
    <font>
      <i/>
      <sz val="10"/>
      <name val="Arial Cyr"/>
      <charset val="204"/>
    </font>
    <font>
      <b/>
      <sz val="10"/>
      <name val="Arial"/>
      <family val="2"/>
      <charset val="204"/>
    </font>
    <font>
      <b/>
      <i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vertAlign val="subscript"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vertAlign val="subscript"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99CC"/>
        <bgColor rgb="FFFF8080"/>
      </patternFill>
    </fill>
    <fill>
      <patternFill patternType="solid">
        <fgColor rgb="FF00FF00"/>
        <bgColor rgb="FF33CCCC"/>
      </patternFill>
    </fill>
    <fill>
      <patternFill patternType="solid">
        <fgColor rgb="FFFFFF00"/>
        <bgColor rgb="FFFFFF00"/>
      </patternFill>
    </fill>
    <fill>
      <patternFill patternType="solid">
        <fgColor rgb="FFFFCC99"/>
        <bgColor rgb="FFC0C0C0"/>
      </patternFill>
    </fill>
    <fill>
      <patternFill patternType="solid">
        <fgColor rgb="FFCCFFFF"/>
        <bgColor rgb="FFCCFFFF"/>
      </patternFill>
    </fill>
    <fill>
      <patternFill patternType="solid">
        <fgColor rgb="FFFFFF99"/>
        <bgColor rgb="FFFFFFCC"/>
      </patternFill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  <fill>
      <patternFill patternType="solid">
        <fgColor rgb="FFCC99FF"/>
        <bgColor rgb="FF9999FF"/>
      </patternFill>
    </fill>
  </fills>
  <borders count="1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9" fillId="3" borderId="2" xfId="0" applyFont="1" applyFill="1" applyBorder="1" applyAlignment="1">
      <alignment horizontal="center" vertical="center" wrapText="1"/>
    </xf>
    <xf numFmtId="0" fontId="2" fillId="8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0" fillId="4" borderId="0" xfId="0" applyFont="1" applyFill="1" applyAlignment="1">
      <alignment wrapText="1"/>
    </xf>
    <xf numFmtId="0" fontId="4" fillId="5" borderId="2" xfId="0" applyFont="1" applyFill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6" fillId="6" borderId="2" xfId="0" applyFont="1" applyFill="1" applyBorder="1" applyAlignment="1">
      <alignment horizontal="center"/>
    </xf>
    <xf numFmtId="0" fontId="7" fillId="6" borderId="2" xfId="0" applyFont="1" applyFill="1" applyBorder="1" applyAlignment="1">
      <alignment horizontal="center"/>
    </xf>
    <xf numFmtId="0" fontId="8" fillId="7" borderId="4" xfId="0" applyFont="1" applyFill="1" applyBorder="1" applyAlignment="1">
      <alignment horizontal="center" vertical="center" wrapText="1"/>
    </xf>
    <xf numFmtId="0" fontId="8" fillId="7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164" fontId="0" fillId="0" borderId="8" xfId="0" applyNumberFormat="1" applyBorder="1" applyAlignment="1">
      <alignment horizontal="center"/>
    </xf>
    <xf numFmtId="0" fontId="0" fillId="0" borderId="9" xfId="0" applyBorder="1" applyAlignment="1">
      <alignment horizontal="center"/>
    </xf>
    <xf numFmtId="0" fontId="2" fillId="9" borderId="10" xfId="0" applyFont="1" applyFill="1" applyBorder="1" applyAlignment="1">
      <alignment horizontal="center"/>
    </xf>
    <xf numFmtId="165" fontId="2" fillId="9" borderId="11" xfId="0" applyNumberFormat="1" applyFont="1" applyFill="1" applyBorder="1"/>
    <xf numFmtId="0" fontId="0" fillId="9" borderId="2" xfId="0" applyFill="1" applyBorder="1" applyAlignment="1">
      <alignment horizontal="center" vertical="center" wrapText="1"/>
    </xf>
    <xf numFmtId="165" fontId="0" fillId="0" borderId="2" xfId="0" applyNumberFormat="1" applyBorder="1"/>
    <xf numFmtId="0" fontId="0" fillId="9" borderId="12" xfId="0" applyFill="1" applyBorder="1"/>
    <xf numFmtId="0" fontId="0" fillId="9" borderId="13" xfId="0" applyFill="1" applyBorder="1"/>
    <xf numFmtId="0" fontId="10" fillId="10" borderId="4" xfId="0" applyFont="1" applyFill="1" applyBorder="1" applyAlignment="1">
      <alignment horizontal="center" vertical="center" wrapText="1"/>
    </xf>
    <xf numFmtId="0" fontId="8" fillId="9" borderId="2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/>
    </xf>
    <xf numFmtId="0" fontId="9" fillId="5" borderId="15" xfId="0" applyFont="1" applyFill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4" borderId="17" xfId="0" applyFont="1" applyFill="1" applyBorder="1" applyAlignment="1">
      <alignment wrapText="1"/>
    </xf>
    <xf numFmtId="0" fontId="0" fillId="0" borderId="0" xfId="0" applyBorder="1"/>
    <xf numFmtId="165" fontId="0" fillId="0" borderId="0" xfId="0" applyNumberFormat="1" applyBorder="1"/>
    <xf numFmtId="0" fontId="1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169" fontId="0" fillId="0" borderId="0" xfId="0" applyNumberFormat="1"/>
    <xf numFmtId="0" fontId="11" fillId="0" borderId="0" xfId="0" applyFont="1"/>
    <xf numFmtId="0" fontId="10" fillId="0" borderId="17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3" fillId="4" borderId="17" xfId="0" applyFont="1" applyFill="1" applyBorder="1" applyAlignment="1">
      <alignment wrapText="1"/>
    </xf>
    <xf numFmtId="0" fontId="11" fillId="0" borderId="18" xfId="0" applyFont="1" applyBorder="1" applyAlignment="1" applyProtection="1">
      <alignment wrapText="1"/>
      <protection locked="0"/>
    </xf>
    <xf numFmtId="0" fontId="12" fillId="0" borderId="18" xfId="0" applyFont="1" applyBorder="1" applyAlignment="1" applyProtection="1">
      <alignment wrapText="1"/>
      <protection locked="0"/>
    </xf>
    <xf numFmtId="0" fontId="0" fillId="4" borderId="18" xfId="0" applyFont="1" applyFill="1" applyBorder="1"/>
    <xf numFmtId="0" fontId="1" fillId="0" borderId="18" xfId="0" applyFont="1" applyBorder="1" applyAlignment="1" applyProtection="1">
      <alignment horizontal="center" vertical="center" wrapText="1"/>
      <protection locked="0"/>
    </xf>
    <xf numFmtId="49" fontId="13" fillId="0" borderId="18" xfId="0" applyNumberFormat="1" applyFont="1" applyBorder="1" applyAlignment="1" applyProtection="1">
      <alignment horizontal="center" vertical="center"/>
      <protection locked="0"/>
    </xf>
    <xf numFmtId="0" fontId="13" fillId="0" borderId="18" xfId="0" applyFont="1" applyBorder="1" applyAlignment="1" applyProtection="1">
      <alignment horizontal="center" vertical="center"/>
      <protection locked="0"/>
    </xf>
    <xf numFmtId="0" fontId="0" fillId="4" borderId="18" xfId="0" applyFont="1" applyFill="1" applyBorder="1" applyAlignment="1">
      <alignment wrapText="1"/>
    </xf>
    <xf numFmtId="0" fontId="8" fillId="0" borderId="18" xfId="0" applyFont="1" applyBorder="1" applyAlignment="1" applyProtection="1">
      <alignment horizontal="center" vertical="center" wrapText="1"/>
      <protection locked="0"/>
    </xf>
    <xf numFmtId="164" fontId="0" fillId="0" borderId="18" xfId="0" applyNumberFormat="1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0" fillId="4" borderId="18" xfId="0" applyFont="1" applyFill="1" applyBorder="1" applyAlignment="1">
      <alignment horizontal="center" vertical="center" wrapText="1"/>
    </xf>
    <xf numFmtId="166" fontId="0" fillId="0" borderId="18" xfId="0" applyNumberFormat="1" applyBorder="1" applyAlignment="1" applyProtection="1">
      <alignment horizontal="center"/>
      <protection locked="0"/>
    </xf>
    <xf numFmtId="0" fontId="2" fillId="4" borderId="18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 applyProtection="1">
      <alignment horizontal="center"/>
      <protection locked="0"/>
    </xf>
    <xf numFmtId="0" fontId="10" fillId="4" borderId="18" xfId="0" applyFont="1" applyFill="1" applyBorder="1" applyAlignment="1">
      <alignment horizontal="center" vertical="center" wrapText="1"/>
    </xf>
    <xf numFmtId="167" fontId="0" fillId="0" borderId="18" xfId="0" applyNumberFormat="1" applyBorder="1" applyAlignment="1" applyProtection="1">
      <alignment horizontal="center"/>
      <protection locked="0"/>
    </xf>
    <xf numFmtId="0" fontId="18" fillId="4" borderId="18" xfId="0" applyFont="1" applyFill="1" applyBorder="1" applyAlignment="1">
      <alignment horizontal="center" vertical="center" wrapText="1"/>
    </xf>
    <xf numFmtId="49" fontId="12" fillId="0" borderId="18" xfId="0" applyNumberFormat="1" applyFont="1" applyBorder="1" applyAlignment="1" applyProtection="1">
      <alignment wrapText="1"/>
      <protection locked="0"/>
    </xf>
    <xf numFmtId="0" fontId="0" fillId="0" borderId="18" xfId="0" applyBorder="1" applyProtection="1">
      <protection locked="0"/>
    </xf>
    <xf numFmtId="49" fontId="13" fillId="0" borderId="18" xfId="0" applyNumberFormat="1" applyFont="1" applyBorder="1" applyAlignment="1" applyProtection="1">
      <alignment horizontal="center"/>
      <protection locked="0"/>
    </xf>
    <xf numFmtId="0" fontId="0" fillId="4" borderId="18" xfId="0" applyFont="1" applyFill="1" applyBorder="1" applyAlignment="1">
      <alignment horizontal="center" vertical="center" wrapText="1"/>
    </xf>
    <xf numFmtId="0" fontId="12" fillId="0" borderId="18" xfId="0" applyFont="1" applyBorder="1" applyAlignment="1" applyProtection="1">
      <alignment horizontal="center" vertical="center"/>
      <protection locked="0"/>
    </xf>
    <xf numFmtId="49" fontId="15" fillId="0" borderId="18" xfId="0" applyNumberFormat="1" applyFont="1" applyBorder="1" applyAlignment="1" applyProtection="1">
      <alignment horizontal="center" vertical="center"/>
      <protection locked="0"/>
    </xf>
    <xf numFmtId="49" fontId="11" fillId="0" borderId="18" xfId="0" applyNumberFormat="1" applyFont="1" applyBorder="1" applyAlignment="1" applyProtection="1">
      <alignment horizontal="center" vertical="center" wrapText="1"/>
      <protection locked="0"/>
    </xf>
    <xf numFmtId="49" fontId="3" fillId="0" borderId="18" xfId="0" applyNumberFormat="1" applyFont="1" applyBorder="1" applyAlignment="1" applyProtection="1">
      <alignment wrapText="1"/>
      <protection locked="0"/>
    </xf>
    <xf numFmtId="165" fontId="0" fillId="0" borderId="18" xfId="0" applyNumberFormat="1" applyBorder="1" applyProtection="1">
      <protection locked="0"/>
    </xf>
    <xf numFmtId="0" fontId="11" fillId="0" borderId="18" xfId="0" applyFont="1" applyBorder="1" applyAlignment="1">
      <alignment wrapText="1"/>
    </xf>
    <xf numFmtId="49" fontId="13" fillId="0" borderId="18" xfId="0" applyNumberFormat="1" applyFont="1" applyBorder="1" applyAlignment="1" applyProtection="1">
      <alignment horizontal="center" wrapText="1"/>
      <protection locked="0"/>
    </xf>
    <xf numFmtId="49" fontId="8" fillId="0" borderId="18" xfId="0" applyNumberFormat="1" applyFont="1" applyBorder="1" applyAlignment="1" applyProtection="1">
      <alignment horizontal="center" vertical="center" wrapText="1"/>
      <protection locked="0"/>
    </xf>
    <xf numFmtId="168" fontId="0" fillId="0" borderId="18" xfId="0" applyNumberFormat="1" applyBorder="1" applyProtection="1">
      <protection locked="0"/>
    </xf>
    <xf numFmtId="0" fontId="1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/>
    </xf>
    <xf numFmtId="165" fontId="0" fillId="0" borderId="18" xfId="0" applyNumberFormat="1" applyBorder="1"/>
    <xf numFmtId="0" fontId="0" fillId="0" borderId="18" xfId="0" applyBorder="1" applyAlignment="1">
      <alignment horizontal="center"/>
    </xf>
    <xf numFmtId="0" fontId="17" fillId="4" borderId="18" xfId="0" applyFont="1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abSelected="1" topLeftCell="A13" zoomScaleNormal="100" workbookViewId="0">
      <selection activeCell="E57" sqref="E57"/>
    </sheetView>
  </sheetViews>
  <sheetFormatPr defaultColWidth="9" defaultRowHeight="12.75" x14ac:dyDescent="0.2"/>
  <cols>
    <col min="1" max="1" width="21.7109375" customWidth="1"/>
    <col min="2" max="2" width="21" customWidth="1"/>
    <col min="3" max="3" width="17.85546875" customWidth="1"/>
    <col min="4" max="4" width="22" customWidth="1"/>
    <col min="5" max="5" width="19.28515625" customWidth="1"/>
    <col min="6" max="6" width="23.140625" customWidth="1"/>
    <col min="7" max="7" width="18.85546875" customWidth="1"/>
    <col min="8" max="8" width="13.5703125" customWidth="1"/>
    <col min="9" max="9" width="14.7109375" customWidth="1"/>
    <col min="10" max="10" width="12.85546875" customWidth="1"/>
  </cols>
  <sheetData>
    <row r="1" spans="1:7" ht="15" x14ac:dyDescent="0.2">
      <c r="A1" s="4" t="s">
        <v>0</v>
      </c>
      <c r="B1" s="4"/>
      <c r="C1" s="4"/>
      <c r="D1" s="4"/>
      <c r="E1" s="4"/>
      <c r="F1" s="4"/>
      <c r="G1" s="4"/>
    </row>
    <row r="2" spans="1:7" x14ac:dyDescent="0.2">
      <c r="A2" s="3" t="s">
        <v>1</v>
      </c>
      <c r="B2" s="3"/>
      <c r="C2" s="3"/>
      <c r="D2" s="3"/>
    </row>
    <row r="3" spans="1:7" x14ac:dyDescent="0.2">
      <c r="A3" s="3"/>
      <c r="B3" s="3"/>
      <c r="C3" s="3"/>
      <c r="D3" s="3"/>
    </row>
    <row r="10" spans="1:7" ht="76.5" x14ac:dyDescent="0.2">
      <c r="A10" s="5" t="s">
        <v>2</v>
      </c>
      <c r="C10" s="6" t="s">
        <v>3</v>
      </c>
    </row>
    <row r="11" spans="1:7" ht="15.75" x14ac:dyDescent="0.25">
      <c r="A11" s="7" t="s">
        <v>4</v>
      </c>
      <c r="B11" s="8">
        <v>5023.3220000000001</v>
      </c>
    </row>
    <row r="12" spans="1:7" ht="15.75" x14ac:dyDescent="0.25">
      <c r="A12" s="9" t="s">
        <v>5</v>
      </c>
      <c r="B12" s="10">
        <v>1681.797</v>
      </c>
    </row>
    <row r="14" spans="1:7" ht="38.25" x14ac:dyDescent="0.2">
      <c r="A14" s="11" t="s">
        <v>6</v>
      </c>
      <c r="B14" s="12" t="s">
        <v>7</v>
      </c>
    </row>
    <row r="15" spans="1:7" x14ac:dyDescent="0.2">
      <c r="A15" s="13">
        <v>11841.17</v>
      </c>
      <c r="B15" s="14">
        <f t="shared" ref="B15:B23" si="0">(A15-$B$11)/$B$12</f>
        <v>4.0539066248780324</v>
      </c>
    </row>
    <row r="16" spans="1:7" x14ac:dyDescent="0.2">
      <c r="A16" s="15">
        <v>11815.93</v>
      </c>
      <c r="B16" s="16">
        <f t="shared" si="0"/>
        <v>4.0388988682938551</v>
      </c>
    </row>
    <row r="17" spans="1:3" x14ac:dyDescent="0.2">
      <c r="A17" s="17">
        <v>11435.39</v>
      </c>
      <c r="B17" s="16">
        <f t="shared" si="0"/>
        <v>3.81262899148946</v>
      </c>
    </row>
    <row r="18" spans="1:3" x14ac:dyDescent="0.2">
      <c r="A18" s="17">
        <v>11703.49</v>
      </c>
      <c r="B18" s="16">
        <f t="shared" si="0"/>
        <v>3.9720418100400936</v>
      </c>
    </row>
    <row r="19" spans="1:3" x14ac:dyDescent="0.2">
      <c r="A19" s="17">
        <v>11854.5</v>
      </c>
      <c r="B19" s="16">
        <f t="shared" si="0"/>
        <v>4.0618326706493111</v>
      </c>
    </row>
    <row r="20" spans="1:3" x14ac:dyDescent="0.2">
      <c r="A20" s="17">
        <v>11503.67</v>
      </c>
      <c r="B20" s="16">
        <f t="shared" si="0"/>
        <v>3.8532284217417438</v>
      </c>
    </row>
    <row r="21" spans="1:3" x14ac:dyDescent="0.2">
      <c r="A21" s="17">
        <v>11908.67</v>
      </c>
      <c r="B21" s="16">
        <f t="shared" si="0"/>
        <v>4.0940422655052897</v>
      </c>
    </row>
    <row r="22" spans="1:3" x14ac:dyDescent="0.2">
      <c r="A22" s="17">
        <v>11547.67</v>
      </c>
      <c r="B22" s="16">
        <f t="shared" si="0"/>
        <v>3.8793909134098823</v>
      </c>
    </row>
    <row r="23" spans="1:3" x14ac:dyDescent="0.2">
      <c r="A23" s="17">
        <v>11926.32</v>
      </c>
      <c r="B23" s="16">
        <f t="shared" si="0"/>
        <v>4.1045369922767136</v>
      </c>
    </row>
    <row r="24" spans="1:3" x14ac:dyDescent="0.2">
      <c r="A24" s="2" t="s">
        <v>8</v>
      </c>
      <c r="B24" s="2"/>
    </row>
    <row r="25" spans="1:3" ht="25.5" x14ac:dyDescent="0.2">
      <c r="A25" s="18">
        <f>AVERAGE(A15:A23)</f>
        <v>11726.312222222223</v>
      </c>
      <c r="B25" s="19">
        <f>AVERAGE(B15:B23)</f>
        <v>3.9856119509204877</v>
      </c>
      <c r="C25" s="6" t="s">
        <v>9</v>
      </c>
    </row>
    <row r="26" spans="1:3" ht="15.75" customHeight="1" x14ac:dyDescent="0.2">
      <c r="A26" s="1" t="s">
        <v>10</v>
      </c>
      <c r="B26" s="1"/>
    </row>
    <row r="27" spans="1:3" ht="76.5" x14ac:dyDescent="0.2">
      <c r="A27" s="20">
        <f>STDEV(A15:A23)/SQRT(9)</f>
        <v>62.087799364595583</v>
      </c>
      <c r="B27" s="21">
        <f>STDEV(B15:B23)</f>
        <v>0.11075260456154154</v>
      </c>
      <c r="C27" s="6" t="s">
        <v>11</v>
      </c>
    </row>
    <row r="28" spans="1:3" x14ac:dyDescent="0.2">
      <c r="A28" s="22"/>
      <c r="B28" s="23"/>
    </row>
    <row r="29" spans="1:3" ht="25.5" x14ac:dyDescent="0.2">
      <c r="A29" s="24" t="s">
        <v>12</v>
      </c>
      <c r="B29" s="25">
        <f>COUNT(A15:A23)</f>
        <v>9</v>
      </c>
    </row>
    <row r="30" spans="1:3" ht="15" x14ac:dyDescent="0.25">
      <c r="A30" s="26" t="s">
        <v>13</v>
      </c>
      <c r="B30" s="27" t="s">
        <v>14</v>
      </c>
    </row>
    <row r="31" spans="1:3" x14ac:dyDescent="0.2">
      <c r="A31" s="28">
        <f>2^(1-0.5*LOG(0.75))</f>
        <v>2.0885032207122394</v>
      </c>
      <c r="B31" s="28">
        <f>($B$27/$B$25)*100</f>
        <v>2.7788105296092094</v>
      </c>
    </row>
    <row r="34" spans="1:9" ht="82.9" customHeight="1" x14ac:dyDescent="0.35">
      <c r="A34" s="45" t="s">
        <v>15</v>
      </c>
      <c r="B34" s="46" t="s">
        <v>16</v>
      </c>
      <c r="C34" s="45" t="s">
        <v>17</v>
      </c>
      <c r="D34" s="45" t="s">
        <v>18</v>
      </c>
      <c r="E34" s="45" t="s">
        <v>19</v>
      </c>
      <c r="F34" s="47" t="s">
        <v>20</v>
      </c>
    </row>
    <row r="35" spans="1:9" ht="38.25" x14ac:dyDescent="0.2">
      <c r="A35" s="48" t="s">
        <v>21</v>
      </c>
      <c r="B35" s="49" t="s">
        <v>22</v>
      </c>
      <c r="C35" s="49" t="s">
        <v>23</v>
      </c>
      <c r="D35" s="50">
        <v>3</v>
      </c>
      <c r="E35" s="49" t="s">
        <v>24</v>
      </c>
      <c r="F35" s="51" t="s">
        <v>25</v>
      </c>
    </row>
    <row r="36" spans="1:9" ht="25.5" x14ac:dyDescent="0.2">
      <c r="A36" s="52" t="s">
        <v>26</v>
      </c>
      <c r="B36" s="53">
        <f>B25</f>
        <v>3.9856119509204877</v>
      </c>
      <c r="C36" s="54">
        <v>7.5</v>
      </c>
      <c r="D36" s="54">
        <v>0.01</v>
      </c>
      <c r="E36" s="54">
        <v>4</v>
      </c>
      <c r="F36" s="47" t="s">
        <v>27</v>
      </c>
    </row>
    <row r="37" spans="1:9" ht="51" x14ac:dyDescent="0.2">
      <c r="A37" s="52" t="s">
        <v>28</v>
      </c>
      <c r="B37" s="54">
        <f>B27/SQRT(B29)</f>
        <v>3.6917534853847182E-2</v>
      </c>
      <c r="C37" s="54">
        <v>0.1</v>
      </c>
      <c r="D37" s="54">
        <v>1E-4</v>
      </c>
      <c r="E37" s="54">
        <v>0.2</v>
      </c>
      <c r="F37" s="51" t="s">
        <v>29</v>
      </c>
    </row>
    <row r="38" spans="1:9" ht="51" x14ac:dyDescent="0.2">
      <c r="A38" s="52" t="s">
        <v>30</v>
      </c>
      <c r="B38" s="55" t="s">
        <v>31</v>
      </c>
      <c r="C38" s="55" t="s">
        <v>32</v>
      </c>
      <c r="D38" s="55" t="s">
        <v>32</v>
      </c>
      <c r="E38" s="55" t="s">
        <v>32</v>
      </c>
      <c r="F38" s="51" t="s">
        <v>33</v>
      </c>
    </row>
    <row r="39" spans="1:9" ht="63.75" x14ac:dyDescent="0.2">
      <c r="A39" s="56" t="s">
        <v>34</v>
      </c>
      <c r="B39" s="54">
        <v>1</v>
      </c>
      <c r="C39" s="54">
        <v>3</v>
      </c>
      <c r="D39" s="54">
        <v>3</v>
      </c>
      <c r="E39" s="54">
        <v>3</v>
      </c>
      <c r="F39" s="57" t="s">
        <v>35</v>
      </c>
      <c r="G39" s="30"/>
      <c r="H39" s="30"/>
      <c r="I39" s="31"/>
    </row>
    <row r="40" spans="1:9" ht="38.25" x14ac:dyDescent="0.2">
      <c r="A40" s="52" t="s">
        <v>36</v>
      </c>
      <c r="B40" s="58">
        <f>B37/SQRT(B39)</f>
        <v>3.6917534853847182E-2</v>
      </c>
      <c r="C40" s="58">
        <f>C37/SQRT(C39)</f>
        <v>5.7735026918962581E-2</v>
      </c>
      <c r="D40" s="58">
        <f>D37/SQRT(D39)</f>
        <v>5.7735026918962585E-5</v>
      </c>
      <c r="E40" s="58">
        <f>E37/SQRT(E39)</f>
        <v>0.11547005383792516</v>
      </c>
      <c r="F40" s="59"/>
      <c r="G40" s="30"/>
      <c r="H40" s="30"/>
      <c r="I40" s="31"/>
    </row>
    <row r="41" spans="1:9" ht="51" x14ac:dyDescent="0.2">
      <c r="A41" s="52" t="s">
        <v>37</v>
      </c>
      <c r="B41" s="54">
        <f>B29</f>
        <v>9</v>
      </c>
      <c r="C41" s="60">
        <v>10000</v>
      </c>
      <c r="D41" s="60">
        <v>10000</v>
      </c>
      <c r="E41" s="60">
        <v>10000</v>
      </c>
      <c r="F41" s="61" t="s">
        <v>38</v>
      </c>
      <c r="G41" s="30"/>
      <c r="H41" s="30"/>
      <c r="I41" s="31"/>
    </row>
    <row r="42" spans="1:9" ht="89.25" x14ac:dyDescent="0.2">
      <c r="A42" s="52" t="s">
        <v>39</v>
      </c>
      <c r="B42" s="62">
        <f>B36/1000</f>
        <v>3.9856119509204873E-3</v>
      </c>
      <c r="C42" s="62">
        <f>C36/1000</f>
        <v>7.4999999999999997E-3</v>
      </c>
      <c r="D42" s="62">
        <f>D36/1000</f>
        <v>1.0000000000000001E-5</v>
      </c>
      <c r="E42" s="62">
        <f>E36/1000</f>
        <v>4.0000000000000001E-3</v>
      </c>
      <c r="F42" s="63" t="s">
        <v>40</v>
      </c>
      <c r="G42" s="30"/>
      <c r="H42" s="30"/>
      <c r="I42" s="31"/>
    </row>
    <row r="43" spans="1:9" ht="89.25" x14ac:dyDescent="0.2">
      <c r="A43" s="64" t="s">
        <v>41</v>
      </c>
      <c r="B43" s="65"/>
      <c r="C43" s="65"/>
      <c r="D43" s="65"/>
      <c r="E43" s="65"/>
      <c r="F43" s="51" t="s">
        <v>42</v>
      </c>
    </row>
    <row r="44" spans="1:9" ht="17.100000000000001" customHeight="1" x14ac:dyDescent="0.25">
      <c r="A44" s="66" t="s">
        <v>22</v>
      </c>
      <c r="B44" s="65">
        <f t="shared" ref="B44:E47" si="1">(LOOKUP($A44,$B$35:$E$35,$B$36:$E$36))+IF(B$35=$A44,B$42,0)</f>
        <v>3.989597562871408</v>
      </c>
      <c r="C44" s="65">
        <f t="shared" si="1"/>
        <v>3.9856119509204877</v>
      </c>
      <c r="D44" s="65">
        <f t="shared" si="1"/>
        <v>3.9856119509204877</v>
      </c>
      <c r="E44" s="65">
        <f t="shared" si="1"/>
        <v>3.9856119509204877</v>
      </c>
      <c r="F44" s="67" t="s">
        <v>43</v>
      </c>
    </row>
    <row r="45" spans="1:9" ht="15.75" x14ac:dyDescent="0.2">
      <c r="A45" s="49" t="s">
        <v>23</v>
      </c>
      <c r="B45" s="65">
        <f t="shared" si="1"/>
        <v>7.5</v>
      </c>
      <c r="C45" s="65">
        <f t="shared" si="1"/>
        <v>7.5075000000000003</v>
      </c>
      <c r="D45" s="65">
        <f t="shared" si="1"/>
        <v>7.5</v>
      </c>
      <c r="E45" s="65">
        <f t="shared" si="1"/>
        <v>7.5</v>
      </c>
      <c r="F45" s="67"/>
    </row>
    <row r="46" spans="1:9" x14ac:dyDescent="0.2">
      <c r="A46" s="68">
        <v>3</v>
      </c>
      <c r="B46" s="65">
        <f t="shared" si="1"/>
        <v>0.01</v>
      </c>
      <c r="C46" s="65">
        <f t="shared" si="1"/>
        <v>0.01</v>
      </c>
      <c r="D46" s="65">
        <f t="shared" si="1"/>
        <v>1.001E-2</v>
      </c>
      <c r="E46" s="65">
        <f t="shared" si="1"/>
        <v>0.01</v>
      </c>
      <c r="F46" s="67"/>
    </row>
    <row r="47" spans="1:9" ht="15.75" x14ac:dyDescent="0.2">
      <c r="A47" s="69" t="s">
        <v>24</v>
      </c>
      <c r="B47" s="65">
        <f t="shared" si="1"/>
        <v>4</v>
      </c>
      <c r="C47" s="65">
        <f t="shared" si="1"/>
        <v>4</v>
      </c>
      <c r="D47" s="65">
        <f t="shared" si="1"/>
        <v>4</v>
      </c>
      <c r="E47" s="65">
        <f t="shared" si="1"/>
        <v>4.0039999999999996</v>
      </c>
      <c r="F47" s="67"/>
    </row>
    <row r="48" spans="1:9" ht="89.25" x14ac:dyDescent="0.2">
      <c r="A48" s="70" t="s">
        <v>44</v>
      </c>
      <c r="B48" s="65">
        <f>(B44*B45)/(B46*B47*10)</f>
        <v>74.804954303838898</v>
      </c>
      <c r="C48" s="65">
        <f>(C44*C45)/(C46*C47*10)</f>
        <v>74.804954303838898</v>
      </c>
      <c r="D48" s="65">
        <f>(D44*D45)/(D46*D47*10)</f>
        <v>74.655568511247907</v>
      </c>
      <c r="E48" s="65">
        <f>(E44*E45)/(E46*E47*10)</f>
        <v>74.655568511247907</v>
      </c>
      <c r="F48" s="51" t="s">
        <v>45</v>
      </c>
    </row>
    <row r="49" spans="1:9" ht="76.5" x14ac:dyDescent="0.2">
      <c r="A49" s="71" t="s">
        <v>46</v>
      </c>
      <c r="B49" s="72">
        <f>B58</f>
        <v>74.730224079759139</v>
      </c>
      <c r="C49" s="72">
        <f>B58</f>
        <v>74.730224079759139</v>
      </c>
      <c r="D49" s="72">
        <f>B58</f>
        <v>74.730224079759139</v>
      </c>
      <c r="E49" s="72">
        <f>B58</f>
        <v>74.730224079759139</v>
      </c>
      <c r="F49" s="51" t="s">
        <v>47</v>
      </c>
    </row>
    <row r="50" spans="1:9" ht="76.900000000000006" customHeight="1" x14ac:dyDescent="0.2">
      <c r="A50" s="73" t="s">
        <v>48</v>
      </c>
      <c r="B50" s="65">
        <f>B48-B49</f>
        <v>7.4730224079758045E-2</v>
      </c>
      <c r="C50" s="65">
        <f>C48-C49</f>
        <v>7.4730224079758045E-2</v>
      </c>
      <c r="D50" s="65">
        <f>D48-D49</f>
        <v>-7.4655568511232673E-2</v>
      </c>
      <c r="E50" s="65">
        <f>E48-E49</f>
        <v>-7.4655568511232673E-2</v>
      </c>
      <c r="F50" s="51" t="s">
        <v>49</v>
      </c>
    </row>
    <row r="51" spans="1:9" ht="55.15" customHeight="1" x14ac:dyDescent="0.25">
      <c r="A51" s="74" t="s">
        <v>50</v>
      </c>
      <c r="B51" s="65">
        <f>B50/B42</f>
        <v>18.749999999999726</v>
      </c>
      <c r="C51" s="65">
        <f>C50/C42</f>
        <v>9.9640298773010727</v>
      </c>
      <c r="D51" s="65">
        <f>D50/D42</f>
        <v>-7465.5568511232668</v>
      </c>
      <c r="E51" s="65">
        <f>E50/E42</f>
        <v>-18.663892127808168</v>
      </c>
      <c r="F51" s="51" t="s">
        <v>51</v>
      </c>
    </row>
    <row r="52" spans="1:9" ht="63.75" x14ac:dyDescent="0.2">
      <c r="A52" s="75" t="s">
        <v>52</v>
      </c>
      <c r="B52" s="72">
        <f>B51*B40</f>
        <v>0.69220377850962456</v>
      </c>
      <c r="C52" s="72">
        <f>C51*C40</f>
        <v>0.57527353318732488</v>
      </c>
      <c r="D52" s="72">
        <f>D51*D40</f>
        <v>-0.43102412576464738</v>
      </c>
      <c r="E52" s="72">
        <f>E51*E40</f>
        <v>-2.1551206288232367</v>
      </c>
      <c r="F52" s="51" t="s">
        <v>53</v>
      </c>
    </row>
    <row r="53" spans="1:9" ht="51" x14ac:dyDescent="0.2">
      <c r="A53" s="75" t="s">
        <v>54</v>
      </c>
      <c r="B53" s="72">
        <f>B52^2</f>
        <v>0.47914607098300138</v>
      </c>
      <c r="C53" s="72">
        <f>C52^2</f>
        <v>0.33093963798582821</v>
      </c>
      <c r="D53" s="72">
        <f>D52^2</f>
        <v>0.18578179699117855</v>
      </c>
      <c r="E53" s="72">
        <f>E52^2</f>
        <v>4.6445449247794635</v>
      </c>
      <c r="F53" s="51"/>
    </row>
    <row r="54" spans="1:9" ht="76.5" x14ac:dyDescent="0.2">
      <c r="A54" s="75" t="s">
        <v>55</v>
      </c>
      <c r="B54" s="76">
        <f>B52^4/B41</f>
        <v>2.5508995259827489E-2</v>
      </c>
      <c r="C54" s="76">
        <f>C52^4/C41</f>
        <v>1.0952104399019102E-5</v>
      </c>
      <c r="D54" s="76">
        <f>D52^4/D41</f>
        <v>3.451487609327148E-6</v>
      </c>
      <c r="E54" s="76">
        <f>E52^4/E41</f>
        <v>2.1571797558294671E-3</v>
      </c>
      <c r="F54" s="51" t="s">
        <v>56</v>
      </c>
    </row>
    <row r="55" spans="1:9" ht="15.75" x14ac:dyDescent="0.2">
      <c r="A55" s="32"/>
      <c r="B55" s="33"/>
      <c r="C55" s="33"/>
      <c r="D55" s="34"/>
      <c r="E55" s="35"/>
      <c r="F55" s="36"/>
      <c r="G55" s="30"/>
      <c r="H55" s="30"/>
      <c r="I55" s="31"/>
    </row>
    <row r="56" spans="1:9" ht="15.75" x14ac:dyDescent="0.2">
      <c r="A56" s="32"/>
      <c r="B56" s="33"/>
      <c r="C56" s="33"/>
      <c r="D56" s="34"/>
      <c r="E56" s="35"/>
      <c r="F56" s="36"/>
      <c r="G56" s="30"/>
      <c r="H56" s="30"/>
      <c r="I56" s="31"/>
    </row>
    <row r="57" spans="1:9" ht="51.75" customHeight="1" x14ac:dyDescent="0.2">
      <c r="A57" s="77" t="s">
        <v>57</v>
      </c>
      <c r="B57" s="78" t="s">
        <v>58</v>
      </c>
      <c r="C57" s="78" t="s">
        <v>59</v>
      </c>
      <c r="D57" s="78" t="s">
        <v>60</v>
      </c>
      <c r="E57" s="78" t="s">
        <v>61</v>
      </c>
      <c r="F57" s="78" t="s">
        <v>62</v>
      </c>
    </row>
    <row r="58" spans="1:9" ht="15.75" x14ac:dyDescent="0.25">
      <c r="A58" s="79" t="s">
        <v>63</v>
      </c>
      <c r="B58" s="80">
        <f>B36*C36/(D36*E36*10)</f>
        <v>74.730224079759139</v>
      </c>
      <c r="C58" s="80">
        <f>SUM(B53:E53)^0.5</f>
        <v>2.3749552481551039</v>
      </c>
      <c r="D58" s="81">
        <f>INT((C58^4)/SUM(B54:E54))</f>
        <v>1149</v>
      </c>
      <c r="E58" s="80">
        <f>TINV(0.05,D58)</f>
        <v>1.9620307640439474</v>
      </c>
      <c r="F58" s="80">
        <f>C58*E58</f>
        <v>4.6597352601079409</v>
      </c>
    </row>
    <row r="59" spans="1:9" ht="106.7" customHeight="1" x14ac:dyDescent="0.25">
      <c r="A59" s="79"/>
      <c r="B59" s="82" t="s">
        <v>64</v>
      </c>
      <c r="C59" s="82" t="s">
        <v>65</v>
      </c>
      <c r="D59" s="82" t="s">
        <v>66</v>
      </c>
      <c r="E59" s="82" t="s">
        <v>67</v>
      </c>
      <c r="F59" s="82" t="s">
        <v>68</v>
      </c>
      <c r="G59" s="37"/>
    </row>
    <row r="60" spans="1:9" x14ac:dyDescent="0.2">
      <c r="C60" s="38"/>
    </row>
    <row r="63" spans="1:9" x14ac:dyDescent="0.2">
      <c r="A63" s="39" t="s">
        <v>69</v>
      </c>
    </row>
    <row r="64" spans="1:9" ht="76.5" x14ac:dyDescent="0.2">
      <c r="A64" s="40" t="s">
        <v>30</v>
      </c>
      <c r="B64" s="41" t="s">
        <v>70</v>
      </c>
    </row>
    <row r="65" spans="1:3" ht="62.65" customHeight="1" x14ac:dyDescent="0.2">
      <c r="A65" s="42" t="s">
        <v>31</v>
      </c>
      <c r="B65" s="43">
        <v>1</v>
      </c>
      <c r="C65" s="44" t="s">
        <v>71</v>
      </c>
    </row>
    <row r="66" spans="1:3" ht="51" x14ac:dyDescent="0.2">
      <c r="A66" s="42" t="s">
        <v>72</v>
      </c>
      <c r="B66" s="43">
        <v>3</v>
      </c>
      <c r="C66" s="29" t="s">
        <v>73</v>
      </c>
    </row>
    <row r="67" spans="1:3" ht="51" x14ac:dyDescent="0.2">
      <c r="A67" s="42" t="s">
        <v>74</v>
      </c>
      <c r="B67" s="43">
        <v>6</v>
      </c>
      <c r="C67" s="29" t="s">
        <v>75</v>
      </c>
    </row>
    <row r="70" spans="1:3" ht="15.75" customHeight="1" x14ac:dyDescent="0.2"/>
  </sheetData>
  <mergeCells count="5">
    <mergeCell ref="A1:G1"/>
    <mergeCell ref="A2:D3"/>
    <mergeCell ref="A24:B24"/>
    <mergeCell ref="A26:B26"/>
    <mergeCell ref="F44:F47"/>
  </mergeCells>
  <pageMargins left="0.78749999999999998" right="0.78749999999999998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Uncertainity GUM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Константин Китаев</cp:lastModifiedBy>
  <cp:revision>27</cp:revision>
  <dcterms:created xsi:type="dcterms:W3CDTF">2020-02-14T12:17:31Z</dcterms:created>
  <dcterms:modified xsi:type="dcterms:W3CDTF">2021-10-25T06:43:03Z</dcterms:modified>
  <dc:language>ru-RU</dc:language>
</cp:coreProperties>
</file>