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285" windowWidth="14805" windowHeight="7830"/>
  </bookViews>
  <sheets>
    <sheet name="Исходные данные" sheetId="3" r:id="rId1"/>
    <sheet name="ККШ" sheetId="1" r:id="rId2"/>
    <sheet name="Протокол" sheetId="4" r:id="rId3"/>
    <sheet name="Число КП" sheetId="7" r:id="rId4"/>
  </sheets>
  <definedNames>
    <definedName name="_xlnm._FilterDatabase" localSheetId="1" hidden="1">ККШ!$A$131:$J$131</definedName>
    <definedName name="_xlnm.Print_Titles" localSheetId="0">'Исходные данные'!$17:$18</definedName>
    <definedName name="_xlnm.Print_Area" localSheetId="0">'Исходные данные'!$A$1:$F$55</definedName>
    <definedName name="_xlnm.Print_Area" localSheetId="1">ККШ!$A$1:$L$216</definedName>
  </definedNames>
  <calcPr calcId="145621"/>
</workbook>
</file>

<file path=xl/calcChain.xml><?xml version="1.0" encoding="utf-8"?>
<calcChain xmlns="http://schemas.openxmlformats.org/spreadsheetml/2006/main">
  <c r="B3" i="7" l="1"/>
  <c r="A109" i="7" l="1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B5" i="7"/>
  <c r="E109" i="7"/>
  <c r="C11" i="7" l="1"/>
  <c r="E16" i="7"/>
  <c r="C19" i="7"/>
  <c r="E24" i="7"/>
  <c r="C27" i="7"/>
  <c r="E32" i="7"/>
  <c r="C35" i="7"/>
  <c r="E40" i="7"/>
  <c r="C43" i="7"/>
  <c r="E48" i="7"/>
  <c r="C51" i="7"/>
  <c r="E56" i="7"/>
  <c r="C59" i="7"/>
  <c r="E64" i="7"/>
  <c r="C67" i="7"/>
  <c r="E72" i="7"/>
  <c r="C75" i="7"/>
  <c r="E80" i="7"/>
  <c r="C83" i="7"/>
  <c r="E88" i="7"/>
  <c r="C91" i="7"/>
  <c r="E96" i="7"/>
  <c r="C99" i="7"/>
  <c r="E104" i="7"/>
  <c r="C107" i="7"/>
  <c r="E12" i="7"/>
  <c r="C23" i="7"/>
  <c r="E28" i="7"/>
  <c r="E36" i="7"/>
  <c r="E44" i="7"/>
  <c r="E52" i="7"/>
  <c r="E60" i="7"/>
  <c r="E68" i="7"/>
  <c r="E76" i="7"/>
  <c r="E84" i="7"/>
  <c r="C95" i="7"/>
  <c r="E100" i="7"/>
  <c r="E108" i="7"/>
  <c r="C15" i="7"/>
  <c r="E20" i="7"/>
  <c r="C31" i="7"/>
  <c r="C39" i="7"/>
  <c r="C47" i="7"/>
  <c r="C55" i="7"/>
  <c r="C63" i="7"/>
  <c r="C71" i="7"/>
  <c r="C79" i="7"/>
  <c r="C87" i="7"/>
  <c r="E92" i="7"/>
  <c r="C103" i="7"/>
  <c r="E11" i="7"/>
  <c r="C14" i="7"/>
  <c r="E15" i="7"/>
  <c r="C18" i="7"/>
  <c r="E19" i="7"/>
  <c r="C22" i="7"/>
  <c r="E23" i="7"/>
  <c r="C26" i="7"/>
  <c r="E27" i="7"/>
  <c r="C30" i="7"/>
  <c r="E31" i="7"/>
  <c r="C34" i="7"/>
  <c r="E35" i="7"/>
  <c r="C38" i="7"/>
  <c r="E39" i="7"/>
  <c r="C42" i="7"/>
  <c r="E43" i="7"/>
  <c r="C46" i="7"/>
  <c r="E47" i="7"/>
  <c r="C50" i="7"/>
  <c r="E51" i="7"/>
  <c r="C54" i="7"/>
  <c r="E55" i="7"/>
  <c r="C58" i="7"/>
  <c r="E59" i="7"/>
  <c r="C62" i="7"/>
  <c r="E63" i="7"/>
  <c r="C66" i="7"/>
  <c r="E67" i="7"/>
  <c r="C70" i="7"/>
  <c r="E71" i="7"/>
  <c r="C74" i="7"/>
  <c r="E75" i="7"/>
  <c r="C78" i="7"/>
  <c r="E79" i="7"/>
  <c r="C82" i="7"/>
  <c r="E83" i="7"/>
  <c r="C86" i="7"/>
  <c r="E87" i="7"/>
  <c r="C90" i="7"/>
  <c r="E91" i="7"/>
  <c r="C94" i="7"/>
  <c r="E95" i="7"/>
  <c r="C98" i="7"/>
  <c r="E99" i="7"/>
  <c r="C102" i="7"/>
  <c r="E103" i="7"/>
  <c r="C106" i="7"/>
  <c r="E107" i="7"/>
  <c r="C13" i="7"/>
  <c r="E14" i="7"/>
  <c r="C17" i="7"/>
  <c r="E18" i="7"/>
  <c r="C21" i="7"/>
  <c r="E22" i="7"/>
  <c r="C25" i="7"/>
  <c r="E26" i="7"/>
  <c r="C29" i="7"/>
  <c r="E30" i="7"/>
  <c r="C33" i="7"/>
  <c r="E34" i="7"/>
  <c r="C37" i="7"/>
  <c r="E38" i="7"/>
  <c r="C41" i="7"/>
  <c r="E42" i="7"/>
  <c r="C45" i="7"/>
  <c r="E46" i="7"/>
  <c r="C49" i="7"/>
  <c r="E50" i="7"/>
  <c r="C53" i="7"/>
  <c r="E54" i="7"/>
  <c r="C57" i="7"/>
  <c r="E58" i="7"/>
  <c r="C61" i="7"/>
  <c r="E62" i="7"/>
  <c r="C65" i="7"/>
  <c r="E66" i="7"/>
  <c r="C69" i="7"/>
  <c r="E70" i="7"/>
  <c r="C73" i="7"/>
  <c r="E74" i="7"/>
  <c r="C77" i="7"/>
  <c r="E78" i="7"/>
  <c r="C81" i="7"/>
  <c r="E82" i="7"/>
  <c r="C85" i="7"/>
  <c r="E86" i="7"/>
  <c r="C89" i="7"/>
  <c r="E90" i="7"/>
  <c r="C93" i="7"/>
  <c r="E94" i="7"/>
  <c r="C97" i="7"/>
  <c r="E98" i="7"/>
  <c r="C101" i="7"/>
  <c r="E102" i="7"/>
  <c r="C105" i="7"/>
  <c r="E106" i="7"/>
  <c r="C109" i="7"/>
  <c r="C12" i="7"/>
  <c r="E13" i="7"/>
  <c r="C16" i="7"/>
  <c r="E17" i="7"/>
  <c r="C20" i="7"/>
  <c r="E21" i="7"/>
  <c r="C24" i="7"/>
  <c r="E25" i="7"/>
  <c r="C28" i="7"/>
  <c r="E29" i="7"/>
  <c r="C32" i="7"/>
  <c r="E33" i="7"/>
  <c r="C36" i="7"/>
  <c r="E37" i="7"/>
  <c r="C40" i="7"/>
  <c r="E41" i="7"/>
  <c r="C44" i="7"/>
  <c r="E45" i="7"/>
  <c r="C48" i="7"/>
  <c r="E49" i="7"/>
  <c r="C52" i="7"/>
  <c r="E53" i="7"/>
  <c r="C56" i="7"/>
  <c r="E57" i="7"/>
  <c r="C60" i="7"/>
  <c r="E61" i="7"/>
  <c r="C64" i="7"/>
  <c r="E65" i="7"/>
  <c r="C68" i="7"/>
  <c r="E69" i="7"/>
  <c r="C72" i="7"/>
  <c r="E73" i="7"/>
  <c r="C76" i="7"/>
  <c r="E77" i="7"/>
  <c r="C80" i="7"/>
  <c r="E81" i="7"/>
  <c r="C84" i="7"/>
  <c r="E85" i="7"/>
  <c r="C88" i="7"/>
  <c r="E89" i="7"/>
  <c r="C92" i="7"/>
  <c r="E93" i="7"/>
  <c r="C96" i="7"/>
  <c r="E97" i="7"/>
  <c r="C100" i="7"/>
  <c r="E101" i="7"/>
  <c r="C104" i="7"/>
  <c r="E105" i="7"/>
  <c r="C108" i="7"/>
  <c r="F5" i="7" l="1"/>
  <c r="D5" i="7"/>
  <c r="A166" i="1" l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6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33" i="1"/>
  <c r="A100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99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20" i="1"/>
  <c r="C13" i="4" l="1"/>
  <c r="C12" i="4"/>
  <c r="E20" i="4"/>
  <c r="A20" i="4"/>
  <c r="E5" i="4"/>
  <c r="D4" i="4"/>
  <c r="C9" i="4"/>
  <c r="C11" i="4"/>
  <c r="C10" i="4"/>
  <c r="A17" i="4"/>
  <c r="C21" i="1" l="1"/>
  <c r="C222" i="1" s="1"/>
  <c r="D21" i="1"/>
  <c r="D222" i="1" s="1"/>
  <c r="C22" i="1"/>
  <c r="C223" i="1" s="1"/>
  <c r="D22" i="1"/>
  <c r="D223" i="1" s="1"/>
  <c r="C23" i="1"/>
  <c r="C224" i="1" s="1"/>
  <c r="D23" i="1"/>
  <c r="D224" i="1" s="1"/>
  <c r="C24" i="1"/>
  <c r="C225" i="1" s="1"/>
  <c r="D24" i="1"/>
  <c r="D225" i="1" s="1"/>
  <c r="C25" i="1"/>
  <c r="C226" i="1" s="1"/>
  <c r="D25" i="1"/>
  <c r="D226" i="1" s="1"/>
  <c r="C26" i="1"/>
  <c r="C227" i="1" s="1"/>
  <c r="D26" i="1"/>
  <c r="D227" i="1" s="1"/>
  <c r="C27" i="1"/>
  <c r="C228" i="1" s="1"/>
  <c r="D27" i="1"/>
  <c r="D228" i="1" s="1"/>
  <c r="C28" i="1"/>
  <c r="C229" i="1" s="1"/>
  <c r="D28" i="1"/>
  <c r="D229" i="1" s="1"/>
  <c r="C29" i="1"/>
  <c r="C230" i="1" s="1"/>
  <c r="D29" i="1"/>
  <c r="D230" i="1" s="1"/>
  <c r="C30" i="1"/>
  <c r="C231" i="1" s="1"/>
  <c r="D30" i="1"/>
  <c r="D231" i="1" s="1"/>
  <c r="C31" i="1"/>
  <c r="C232" i="1" s="1"/>
  <c r="D31" i="1"/>
  <c r="D232" i="1" s="1"/>
  <c r="C32" i="1"/>
  <c r="C233" i="1" s="1"/>
  <c r="D32" i="1"/>
  <c r="D233" i="1" s="1"/>
  <c r="C33" i="1"/>
  <c r="C234" i="1" s="1"/>
  <c r="D33" i="1"/>
  <c r="D234" i="1" s="1"/>
  <c r="C34" i="1"/>
  <c r="C235" i="1" s="1"/>
  <c r="D34" i="1"/>
  <c r="D235" i="1" s="1"/>
  <c r="C35" i="1"/>
  <c r="C236" i="1" s="1"/>
  <c r="D35" i="1"/>
  <c r="D236" i="1" s="1"/>
  <c r="C36" i="1"/>
  <c r="C237" i="1" s="1"/>
  <c r="D36" i="1"/>
  <c r="D237" i="1" s="1"/>
  <c r="C37" i="1"/>
  <c r="C238" i="1" s="1"/>
  <c r="D37" i="1"/>
  <c r="D238" i="1" s="1"/>
  <c r="C38" i="1"/>
  <c r="C239" i="1" s="1"/>
  <c r="D38" i="1"/>
  <c r="D239" i="1" s="1"/>
  <c r="C39" i="1"/>
  <c r="C240" i="1" s="1"/>
  <c r="D39" i="1"/>
  <c r="D240" i="1" s="1"/>
  <c r="C40" i="1"/>
  <c r="C241" i="1" s="1"/>
  <c r="D40" i="1"/>
  <c r="D241" i="1" s="1"/>
  <c r="C41" i="1"/>
  <c r="D41" i="1"/>
  <c r="D242" i="1" s="1"/>
  <c r="C42" i="1"/>
  <c r="D42" i="1"/>
  <c r="D243" i="1" s="1"/>
  <c r="C43" i="1"/>
  <c r="C244" i="1" s="1"/>
  <c r="D43" i="1"/>
  <c r="D244" i="1" s="1"/>
  <c r="C44" i="1"/>
  <c r="C245" i="1" s="1"/>
  <c r="D44" i="1"/>
  <c r="D245" i="1" s="1"/>
  <c r="C45" i="1"/>
  <c r="D45" i="1"/>
  <c r="D246" i="1" s="1"/>
  <c r="C46" i="1"/>
  <c r="D46" i="1"/>
  <c r="D247" i="1" s="1"/>
  <c r="C47" i="1"/>
  <c r="C248" i="1" s="1"/>
  <c r="D47" i="1"/>
  <c r="D248" i="1" s="1"/>
  <c r="C48" i="1"/>
  <c r="C249" i="1" s="1"/>
  <c r="D48" i="1"/>
  <c r="D249" i="1" s="1"/>
  <c r="C49" i="1"/>
  <c r="C250" i="1" s="1"/>
  <c r="D49" i="1"/>
  <c r="D250" i="1" s="1"/>
  <c r="D20" i="1"/>
  <c r="D221" i="1" s="1"/>
  <c r="C20" i="1"/>
  <c r="C221" i="1" s="1"/>
  <c r="B21" i="1"/>
  <c r="B222" i="1" s="1"/>
  <c r="B22" i="1"/>
  <c r="B223" i="1" s="1"/>
  <c r="B23" i="1"/>
  <c r="B224" i="1" s="1"/>
  <c r="B24" i="1"/>
  <c r="B225" i="1" s="1"/>
  <c r="B25" i="1"/>
  <c r="B226" i="1" s="1"/>
  <c r="B26" i="1"/>
  <c r="B227" i="1" s="1"/>
  <c r="B27" i="1"/>
  <c r="B228" i="1" s="1"/>
  <c r="B28" i="1"/>
  <c r="B229" i="1" s="1"/>
  <c r="B29" i="1"/>
  <c r="B230" i="1" s="1"/>
  <c r="B30" i="1"/>
  <c r="B231" i="1" s="1"/>
  <c r="B31" i="1"/>
  <c r="B232" i="1" s="1"/>
  <c r="B32" i="1"/>
  <c r="B233" i="1" s="1"/>
  <c r="B33" i="1"/>
  <c r="B234" i="1" s="1"/>
  <c r="B34" i="1"/>
  <c r="B235" i="1" s="1"/>
  <c r="B35" i="1"/>
  <c r="B236" i="1" s="1"/>
  <c r="B36" i="1"/>
  <c r="B237" i="1" s="1"/>
  <c r="B37" i="1"/>
  <c r="B238" i="1" s="1"/>
  <c r="B38" i="1"/>
  <c r="B239" i="1" s="1"/>
  <c r="B39" i="1"/>
  <c r="B240" i="1" s="1"/>
  <c r="B40" i="1"/>
  <c r="B241" i="1" s="1"/>
  <c r="B41" i="1"/>
  <c r="B242" i="1" s="1"/>
  <c r="B42" i="1"/>
  <c r="B243" i="1" s="1"/>
  <c r="B43" i="1"/>
  <c r="B244" i="1" s="1"/>
  <c r="B44" i="1"/>
  <c r="B245" i="1" s="1"/>
  <c r="B45" i="1"/>
  <c r="B246" i="1" s="1"/>
  <c r="B46" i="1"/>
  <c r="B247" i="1" s="1"/>
  <c r="B47" i="1"/>
  <c r="B248" i="1" s="1"/>
  <c r="B48" i="1"/>
  <c r="B249" i="1" s="1"/>
  <c r="B49" i="1"/>
  <c r="B250" i="1" s="1"/>
  <c r="B20" i="1"/>
  <c r="B221" i="1" s="1"/>
  <c r="I12" i="1"/>
  <c r="I8" i="1"/>
  <c r="I9" i="1"/>
  <c r="I10" i="1"/>
  <c r="I7" i="1"/>
  <c r="I5" i="1"/>
  <c r="I6" i="1"/>
  <c r="I4" i="1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19" i="3"/>
  <c r="E13" i="3"/>
  <c r="E46" i="1" l="1"/>
  <c r="E247" i="1" s="1"/>
  <c r="E42" i="1"/>
  <c r="E243" i="1" s="1"/>
  <c r="E45" i="1"/>
  <c r="E246" i="1" s="1"/>
  <c r="E41" i="1"/>
  <c r="E242" i="1" s="1"/>
  <c r="C243" i="1"/>
  <c r="C247" i="1"/>
  <c r="C242" i="1"/>
  <c r="C246" i="1"/>
  <c r="E49" i="1"/>
  <c r="E250" i="1" s="1"/>
  <c r="E48" i="1"/>
  <c r="E249" i="1" s="1"/>
  <c r="E44" i="1"/>
  <c r="E47" i="1"/>
  <c r="E43" i="1"/>
  <c r="E38" i="1"/>
  <c r="F38" i="1" s="1"/>
  <c r="E36" i="1"/>
  <c r="E237" i="1" s="1"/>
  <c r="E34" i="1"/>
  <c r="E235" i="1" s="1"/>
  <c r="E32" i="1"/>
  <c r="F32" i="1" s="1"/>
  <c r="E30" i="1"/>
  <c r="E28" i="1"/>
  <c r="E229" i="1" s="1"/>
  <c r="E26" i="1"/>
  <c r="E24" i="1"/>
  <c r="E22" i="1"/>
  <c r="E223" i="1" s="1"/>
  <c r="E39" i="1"/>
  <c r="E240" i="1" s="1"/>
  <c r="E35" i="1"/>
  <c r="E236" i="1" s="1"/>
  <c r="E31" i="1"/>
  <c r="E232" i="1" s="1"/>
  <c r="E27" i="1"/>
  <c r="E228" i="1" s="1"/>
  <c r="E23" i="1"/>
  <c r="E37" i="1"/>
  <c r="E238" i="1" s="1"/>
  <c r="E33" i="1"/>
  <c r="E234" i="1" s="1"/>
  <c r="E29" i="1"/>
  <c r="E25" i="1"/>
  <c r="E226" i="1" s="1"/>
  <c r="E21" i="1"/>
  <c r="E40" i="1"/>
  <c r="E20" i="1"/>
  <c r="E221" i="1" s="1"/>
  <c r="I11" i="1"/>
  <c r="F46" i="1" l="1"/>
  <c r="A191" i="1" s="1"/>
  <c r="H46" i="1"/>
  <c r="A125" i="1" s="1"/>
  <c r="F42" i="1"/>
  <c r="A187" i="1" s="1"/>
  <c r="H28" i="1"/>
  <c r="F34" i="1"/>
  <c r="F45" i="1"/>
  <c r="A190" i="1" s="1"/>
  <c r="F41" i="1"/>
  <c r="A186" i="1" s="1"/>
  <c r="F28" i="1"/>
  <c r="F22" i="1"/>
  <c r="A167" i="1" s="1"/>
  <c r="F49" i="1"/>
  <c r="A194" i="1" s="1"/>
  <c r="H42" i="1"/>
  <c r="A121" i="1" s="1"/>
  <c r="H22" i="1"/>
  <c r="A101" i="1" s="1"/>
  <c r="H49" i="1"/>
  <c r="A128" i="1" s="1"/>
  <c r="H45" i="1"/>
  <c r="A124" i="1" s="1"/>
  <c r="G42" i="1"/>
  <c r="A154" i="1" s="1"/>
  <c r="H41" i="1"/>
  <c r="A120" i="1" s="1"/>
  <c r="G46" i="1"/>
  <c r="A158" i="1" s="1"/>
  <c r="H24" i="1"/>
  <c r="E225" i="1"/>
  <c r="H32" i="1"/>
  <c r="E233" i="1"/>
  <c r="H40" i="1"/>
  <c r="A119" i="1" s="1"/>
  <c r="E241" i="1"/>
  <c r="F26" i="1"/>
  <c r="E227" i="1"/>
  <c r="H34" i="1"/>
  <c r="F43" i="1"/>
  <c r="A188" i="1" s="1"/>
  <c r="E244" i="1"/>
  <c r="G30" i="1"/>
  <c r="E230" i="1"/>
  <c r="H21" i="1"/>
  <c r="E222" i="1"/>
  <c r="G24" i="1"/>
  <c r="E224" i="1"/>
  <c r="F30" i="1"/>
  <c r="E231" i="1"/>
  <c r="H38" i="1"/>
  <c r="E239" i="1"/>
  <c r="F47" i="1"/>
  <c r="A192" i="1" s="1"/>
  <c r="E248" i="1"/>
  <c r="G45" i="1"/>
  <c r="A157" i="1" s="1"/>
  <c r="E245" i="1"/>
  <c r="F36" i="1"/>
  <c r="H36" i="1"/>
  <c r="G36" i="1"/>
  <c r="G26" i="1"/>
  <c r="H30" i="1"/>
  <c r="H48" i="1"/>
  <c r="A127" i="1" s="1"/>
  <c r="G48" i="1"/>
  <c r="A160" i="1" s="1"/>
  <c r="F44" i="1"/>
  <c r="A189" i="1" s="1"/>
  <c r="F48" i="1"/>
  <c r="A193" i="1" s="1"/>
  <c r="F24" i="1"/>
  <c r="H26" i="1"/>
  <c r="H43" i="1"/>
  <c r="A122" i="1" s="1"/>
  <c r="G43" i="1"/>
  <c r="A155" i="1" s="1"/>
  <c r="G49" i="1"/>
  <c r="A161" i="1" s="1"/>
  <c r="H47" i="1"/>
  <c r="A126" i="1" s="1"/>
  <c r="G47" i="1"/>
  <c r="A159" i="1" s="1"/>
  <c r="H44" i="1"/>
  <c r="A123" i="1" s="1"/>
  <c r="G44" i="1"/>
  <c r="A156" i="1" s="1"/>
  <c r="F40" i="1"/>
  <c r="A185" i="1" s="1"/>
  <c r="G33" i="1"/>
  <c r="H33" i="1"/>
  <c r="G27" i="1"/>
  <c r="H27" i="1"/>
  <c r="F23" i="1"/>
  <c r="F21" i="1"/>
  <c r="G28" i="1"/>
  <c r="G37" i="1"/>
  <c r="H37" i="1"/>
  <c r="G31" i="1"/>
  <c r="H31" i="1"/>
  <c r="F29" i="1"/>
  <c r="F31" i="1"/>
  <c r="G38" i="1"/>
  <c r="G25" i="1"/>
  <c r="H25" i="1"/>
  <c r="G35" i="1"/>
  <c r="H35" i="1"/>
  <c r="F33" i="1"/>
  <c r="F35" i="1"/>
  <c r="F25" i="1"/>
  <c r="G29" i="1"/>
  <c r="H29" i="1"/>
  <c r="G23" i="1"/>
  <c r="A135" i="1" s="1"/>
  <c r="H23" i="1"/>
  <c r="G39" i="1"/>
  <c r="H39" i="1"/>
  <c r="F39" i="1"/>
  <c r="F37" i="1"/>
  <c r="G32" i="1"/>
  <c r="G22" i="1"/>
  <c r="A134" i="1" s="1"/>
  <c r="G34" i="1"/>
  <c r="F27" i="1"/>
  <c r="F20" i="1"/>
  <c r="G21" i="1"/>
  <c r="H20" i="1"/>
  <c r="G41" i="1"/>
  <c r="A153" i="1" s="1"/>
  <c r="G40" i="1"/>
  <c r="A152" i="1" s="1"/>
  <c r="G124" i="1" l="1"/>
  <c r="G192" i="1"/>
  <c r="G128" i="1"/>
  <c r="G125" i="1"/>
  <c r="G119" i="1"/>
  <c r="E121" i="1"/>
  <c r="G121" i="1"/>
  <c r="E119" i="1"/>
  <c r="E124" i="1"/>
  <c r="G186" i="1"/>
  <c r="G187" i="1"/>
  <c r="G191" i="1"/>
  <c r="G157" i="1"/>
  <c r="G158" i="1"/>
  <c r="G190" i="1"/>
  <c r="G154" i="1"/>
  <c r="G120" i="1"/>
  <c r="E120" i="1"/>
  <c r="E128" i="1"/>
  <c r="G188" i="1"/>
  <c r="E125" i="1"/>
  <c r="G194" i="1"/>
  <c r="G171" i="1"/>
  <c r="G109" i="1"/>
  <c r="G183" i="1"/>
  <c r="G142" i="1"/>
  <c r="G170" i="1"/>
  <c r="G150" i="1"/>
  <c r="G143" i="1"/>
  <c r="G140" i="1"/>
  <c r="G145" i="1"/>
  <c r="G185" i="1"/>
  <c r="G159" i="1"/>
  <c r="G138" i="1"/>
  <c r="G152" i="1"/>
  <c r="G107" i="1"/>
  <c r="G184" i="1"/>
  <c r="G147" i="1"/>
  <c r="E126" i="1"/>
  <c r="G126" i="1"/>
  <c r="G155" i="1"/>
  <c r="G173" i="1"/>
  <c r="G189" i="1"/>
  <c r="G148" i="1"/>
  <c r="G176" i="1"/>
  <c r="G153" i="1"/>
  <c r="G172" i="1"/>
  <c r="E115" i="1"/>
  <c r="G111" i="1"/>
  <c r="G180" i="1"/>
  <c r="E111" i="1"/>
  <c r="G174" i="1"/>
  <c r="G149" i="1"/>
  <c r="G139" i="1"/>
  <c r="G156" i="1"/>
  <c r="G181" i="1"/>
  <c r="G179" i="1"/>
  <c r="G161" i="1"/>
  <c r="E122" i="1"/>
  <c r="G122" i="1"/>
  <c r="G193" i="1"/>
  <c r="G160" i="1"/>
  <c r="G182" i="1"/>
  <c r="G146" i="1"/>
  <c r="G144" i="1"/>
  <c r="G151" i="1"/>
  <c r="G141" i="1"/>
  <c r="E109" i="1"/>
  <c r="G178" i="1"/>
  <c r="G137" i="1"/>
  <c r="G123" i="1"/>
  <c r="E123" i="1"/>
  <c r="E127" i="1"/>
  <c r="G127" i="1"/>
  <c r="G177" i="1"/>
  <c r="G175" i="1"/>
  <c r="E113" i="1"/>
  <c r="G113" i="1"/>
  <c r="G115" i="1"/>
  <c r="E107" i="1"/>
  <c r="E117" i="1"/>
  <c r="G117" i="1"/>
  <c r="G105" i="1"/>
  <c r="E118" i="1"/>
  <c r="G118" i="1"/>
  <c r="G108" i="1"/>
  <c r="E108" i="1"/>
  <c r="G116" i="1"/>
  <c r="E116" i="1"/>
  <c r="G106" i="1"/>
  <c r="G104" i="1"/>
  <c r="E110" i="1"/>
  <c r="G110" i="1"/>
  <c r="G112" i="1"/>
  <c r="E112" i="1"/>
  <c r="E114" i="1"/>
  <c r="G114" i="1"/>
  <c r="G221" i="1" l="1"/>
  <c r="A243" i="1"/>
  <c r="A244" i="1"/>
  <c r="A245" i="1"/>
  <c r="A246" i="1"/>
  <c r="A247" i="1"/>
  <c r="A248" i="1"/>
  <c r="A249" i="1"/>
  <c r="A250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21" i="1"/>
  <c r="J17" i="1"/>
  <c r="I17" i="1"/>
  <c r="J16" i="1"/>
  <c r="I16" i="1"/>
  <c r="J15" i="1"/>
  <c r="I15" i="1"/>
  <c r="I188" i="1" l="1"/>
  <c r="I190" i="1"/>
  <c r="I192" i="1"/>
  <c r="I185" i="1"/>
  <c r="I193" i="1"/>
  <c r="I194" i="1"/>
  <c r="I191" i="1"/>
  <c r="I189" i="1"/>
  <c r="I187" i="1"/>
  <c r="I186" i="1"/>
  <c r="I161" i="1"/>
  <c r="I160" i="1"/>
  <c r="I155" i="1"/>
  <c r="I158" i="1"/>
  <c r="I156" i="1"/>
  <c r="I157" i="1"/>
  <c r="I154" i="1"/>
  <c r="I159" i="1"/>
  <c r="I152" i="1"/>
  <c r="I153" i="1"/>
  <c r="I47" i="1"/>
  <c r="I43" i="1"/>
  <c r="F247" i="1"/>
  <c r="F243" i="1"/>
  <c r="F250" i="1"/>
  <c r="I42" i="1"/>
  <c r="I45" i="1"/>
  <c r="F246" i="1"/>
  <c r="F242" i="1"/>
  <c r="I46" i="1"/>
  <c r="I49" i="1"/>
  <c r="I41" i="1"/>
  <c r="F248" i="1"/>
  <c r="F249" i="1"/>
  <c r="F245" i="1"/>
  <c r="I44" i="1"/>
  <c r="I40" i="1"/>
  <c r="I48" i="1"/>
  <c r="F244" i="1"/>
  <c r="F241" i="1"/>
  <c r="E194" i="1"/>
  <c r="E186" i="1"/>
  <c r="E188" i="1"/>
  <c r="E192" i="1"/>
  <c r="E191" i="1"/>
  <c r="E190" i="1"/>
  <c r="E187" i="1"/>
  <c r="E189" i="1"/>
  <c r="E185" i="1"/>
  <c r="E193" i="1"/>
  <c r="G247" i="1"/>
  <c r="G243" i="1"/>
  <c r="J42" i="1"/>
  <c r="J46" i="1"/>
  <c r="G245" i="1"/>
  <c r="G246" i="1"/>
  <c r="G241" i="1"/>
  <c r="J44" i="1"/>
  <c r="J49" i="1"/>
  <c r="G242" i="1"/>
  <c r="G244" i="1"/>
  <c r="G249" i="1"/>
  <c r="J47" i="1"/>
  <c r="J41" i="1"/>
  <c r="J48" i="1"/>
  <c r="G248" i="1"/>
  <c r="G250" i="1"/>
  <c r="J45" i="1"/>
  <c r="J40" i="1"/>
  <c r="J43" i="1"/>
  <c r="E158" i="1"/>
  <c r="E157" i="1"/>
  <c r="E159" i="1"/>
  <c r="E156" i="1"/>
  <c r="E152" i="1"/>
  <c r="E154" i="1"/>
  <c r="E155" i="1"/>
  <c r="E153" i="1"/>
  <c r="E160" i="1"/>
  <c r="E161" i="1"/>
  <c r="F239" i="1"/>
  <c r="F229" i="1"/>
  <c r="F223" i="1"/>
  <c r="F233" i="1"/>
  <c r="F235" i="1"/>
  <c r="F230" i="1"/>
  <c r="F231" i="1"/>
  <c r="F228" i="1"/>
  <c r="F232" i="1"/>
  <c r="F240" i="1"/>
  <c r="F222" i="1"/>
  <c r="F238" i="1"/>
  <c r="F224" i="1"/>
  <c r="F227" i="1"/>
  <c r="F234" i="1"/>
  <c r="F225" i="1"/>
  <c r="F221" i="1"/>
  <c r="F226" i="1"/>
  <c r="F236" i="1"/>
  <c r="F237" i="1"/>
  <c r="G235" i="1"/>
  <c r="G231" i="1"/>
  <c r="G229" i="1"/>
  <c r="G240" i="1"/>
  <c r="G225" i="1"/>
  <c r="G238" i="1"/>
  <c r="G223" i="1"/>
  <c r="G228" i="1"/>
  <c r="G222" i="1"/>
  <c r="G230" i="1"/>
  <c r="G224" i="1"/>
  <c r="G227" i="1"/>
  <c r="G239" i="1"/>
  <c r="G234" i="1"/>
  <c r="G226" i="1"/>
  <c r="G233" i="1"/>
  <c r="G232" i="1"/>
  <c r="G236" i="1"/>
  <c r="G237" i="1"/>
  <c r="I30" i="1"/>
  <c r="I38" i="1"/>
  <c r="I36" i="1"/>
  <c r="I32" i="1"/>
  <c r="I26" i="1"/>
  <c r="I22" i="1"/>
  <c r="I28" i="1"/>
  <c r="I34" i="1"/>
  <c r="I25" i="1"/>
  <c r="I23" i="1"/>
  <c r="I39" i="1"/>
  <c r="I29" i="1"/>
  <c r="I20" i="1"/>
  <c r="I35" i="1"/>
  <c r="I24" i="1"/>
  <c r="I31" i="1"/>
  <c r="I27" i="1"/>
  <c r="I37" i="1"/>
  <c r="I33" i="1"/>
  <c r="I21" i="1"/>
  <c r="E183" i="1"/>
  <c r="E175" i="1"/>
  <c r="E179" i="1"/>
  <c r="E181" i="1"/>
  <c r="E184" i="1"/>
  <c r="E182" i="1"/>
  <c r="E178" i="1"/>
  <c r="E174" i="1"/>
  <c r="E173" i="1"/>
  <c r="E180" i="1"/>
  <c r="E176" i="1"/>
  <c r="E177" i="1"/>
  <c r="J24" i="1"/>
  <c r="J30" i="1"/>
  <c r="J36" i="1"/>
  <c r="J31" i="1"/>
  <c r="J26" i="1"/>
  <c r="J22" i="1"/>
  <c r="J27" i="1"/>
  <c r="J32" i="1"/>
  <c r="J29" i="1"/>
  <c r="J21" i="1"/>
  <c r="J25" i="1"/>
  <c r="J38" i="1"/>
  <c r="J28" i="1"/>
  <c r="J35" i="1"/>
  <c r="J37" i="1"/>
  <c r="J34" i="1"/>
  <c r="J39" i="1"/>
  <c r="J33" i="1"/>
  <c r="J23" i="1"/>
  <c r="E140" i="1"/>
  <c r="E145" i="1"/>
  <c r="E143" i="1"/>
  <c r="E142" i="1"/>
  <c r="E141" i="1"/>
  <c r="E144" i="1"/>
  <c r="E150" i="1"/>
  <c r="E148" i="1"/>
  <c r="E147" i="1"/>
  <c r="E149" i="1"/>
  <c r="E146" i="1"/>
  <c r="E151" i="1"/>
  <c r="I173" i="1"/>
  <c r="I175" i="1"/>
  <c r="I183" i="1"/>
  <c r="I181" i="1"/>
  <c r="I177" i="1"/>
  <c r="I179" i="1"/>
  <c r="I176" i="1"/>
  <c r="I180" i="1"/>
  <c r="I171" i="1"/>
  <c r="I178" i="1"/>
  <c r="I167" i="1"/>
  <c r="I184" i="1"/>
  <c r="I174" i="1"/>
  <c r="I170" i="1"/>
  <c r="I168" i="1"/>
  <c r="I169" i="1"/>
  <c r="I172" i="1"/>
  <c r="I182" i="1"/>
  <c r="I148" i="1"/>
  <c r="I135" i="1"/>
  <c r="I149" i="1"/>
  <c r="I144" i="1"/>
  <c r="I136" i="1"/>
  <c r="I150" i="1"/>
  <c r="I145" i="1"/>
  <c r="I142" i="1"/>
  <c r="I147" i="1"/>
  <c r="I134" i="1"/>
  <c r="I146" i="1"/>
  <c r="I151" i="1"/>
  <c r="I140" i="1"/>
  <c r="I138" i="1"/>
  <c r="I139" i="1"/>
  <c r="I141" i="1"/>
  <c r="I143" i="1"/>
  <c r="I137" i="1"/>
  <c r="S21" i="1" l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20" i="1"/>
  <c r="L15" i="1"/>
  <c r="L16" i="1"/>
  <c r="K16" i="1"/>
  <c r="T37" i="1" s="1"/>
  <c r="K15" i="1"/>
  <c r="V35" i="1" s="1"/>
  <c r="R27" i="1"/>
  <c r="B139" i="1" s="1"/>
  <c r="N49" i="1"/>
  <c r="J121" i="1" l="1"/>
  <c r="I128" i="1"/>
  <c r="J125" i="1"/>
  <c r="J124" i="1"/>
  <c r="J119" i="1"/>
  <c r="I121" i="1"/>
  <c r="J128" i="1"/>
  <c r="I125" i="1"/>
  <c r="I124" i="1"/>
  <c r="K119" i="1"/>
  <c r="I119" i="1"/>
  <c r="K121" i="1"/>
  <c r="K125" i="1"/>
  <c r="I126" i="1"/>
  <c r="K126" i="1"/>
  <c r="K120" i="1"/>
  <c r="K124" i="1"/>
  <c r="I122" i="1"/>
  <c r="K122" i="1"/>
  <c r="K123" i="1"/>
  <c r="J127" i="1"/>
  <c r="K127" i="1"/>
  <c r="I120" i="1"/>
  <c r="J126" i="1"/>
  <c r="J120" i="1"/>
  <c r="K128" i="1"/>
  <c r="J122" i="1"/>
  <c r="J123" i="1"/>
  <c r="I123" i="1"/>
  <c r="I127" i="1"/>
  <c r="H223" i="1"/>
  <c r="H243" i="1"/>
  <c r="K49" i="1"/>
  <c r="K45" i="1"/>
  <c r="K22" i="1"/>
  <c r="H229" i="1"/>
  <c r="H242" i="1"/>
  <c r="K46" i="1"/>
  <c r="K28" i="1"/>
  <c r="K41" i="1"/>
  <c r="H247" i="1"/>
  <c r="K42" i="1"/>
  <c r="H250" i="1"/>
  <c r="H246" i="1"/>
  <c r="H221" i="1"/>
  <c r="K27" i="1"/>
  <c r="K26" i="1"/>
  <c r="K39" i="1"/>
  <c r="K29" i="1"/>
  <c r="H236" i="1"/>
  <c r="H225" i="1"/>
  <c r="K40" i="1"/>
  <c r="K43" i="1"/>
  <c r="H248" i="1"/>
  <c r="H237" i="1"/>
  <c r="K20" i="1"/>
  <c r="H228" i="1"/>
  <c r="H233" i="1"/>
  <c r="K31" i="1"/>
  <c r="K21" i="1"/>
  <c r="H230" i="1"/>
  <c r="K33" i="1"/>
  <c r="K24" i="1"/>
  <c r="K38" i="1"/>
  <c r="K48" i="1"/>
  <c r="K44" i="1"/>
  <c r="H241" i="1"/>
  <c r="K47" i="1"/>
  <c r="K36" i="1"/>
  <c r="H238" i="1"/>
  <c r="K25" i="1"/>
  <c r="K32" i="1"/>
  <c r="H232" i="1"/>
  <c r="H231" i="1"/>
  <c r="H222" i="1"/>
  <c r="H234" i="1"/>
  <c r="H235" i="1"/>
  <c r="K23" i="1"/>
  <c r="H239" i="1"/>
  <c r="H249" i="1"/>
  <c r="H245" i="1"/>
  <c r="K37" i="1"/>
  <c r="H226" i="1"/>
  <c r="H227" i="1"/>
  <c r="H240" i="1"/>
  <c r="K30" i="1"/>
  <c r="K35" i="1"/>
  <c r="K34" i="1"/>
  <c r="H224" i="1"/>
  <c r="H244" i="1"/>
  <c r="U48" i="1"/>
  <c r="I113" i="1"/>
  <c r="I111" i="1"/>
  <c r="I105" i="1"/>
  <c r="J107" i="1"/>
  <c r="I117" i="1"/>
  <c r="I107" i="1"/>
  <c r="K107" i="1"/>
  <c r="J111" i="1"/>
  <c r="J109" i="1"/>
  <c r="J117" i="1"/>
  <c r="J103" i="1"/>
  <c r="I109" i="1"/>
  <c r="J118" i="1"/>
  <c r="K118" i="1"/>
  <c r="K108" i="1"/>
  <c r="I108" i="1"/>
  <c r="J106" i="1"/>
  <c r="I110" i="1"/>
  <c r="J114" i="1"/>
  <c r="K114" i="1"/>
  <c r="J112" i="1"/>
  <c r="I114" i="1"/>
  <c r="J115" i="1"/>
  <c r="I101" i="1"/>
  <c r="J105" i="1"/>
  <c r="I118" i="1"/>
  <c r="I106" i="1"/>
  <c r="J104" i="1"/>
  <c r="K109" i="1"/>
  <c r="J113" i="1"/>
  <c r="K111" i="1"/>
  <c r="I115" i="1"/>
  <c r="K113" i="1"/>
  <c r="J116" i="1"/>
  <c r="K106" i="1"/>
  <c r="I104" i="1"/>
  <c r="I103" i="1"/>
  <c r="K117" i="1"/>
  <c r="K115" i="1"/>
  <c r="J108" i="1"/>
  <c r="K116" i="1"/>
  <c r="I116" i="1"/>
  <c r="I102" i="1"/>
  <c r="J110" i="1"/>
  <c r="K110" i="1"/>
  <c r="K112" i="1"/>
  <c r="I112" i="1"/>
  <c r="W24" i="1"/>
  <c r="K165" i="1"/>
  <c r="K132" i="1"/>
  <c r="M22" i="1"/>
  <c r="Q39" i="1"/>
  <c r="P25" i="1"/>
  <c r="W20" i="1"/>
  <c r="N48" i="1"/>
  <c r="N44" i="1"/>
  <c r="N40" i="1"/>
  <c r="N36" i="1"/>
  <c r="Q34" i="1"/>
  <c r="Q26" i="1"/>
  <c r="P46" i="1"/>
  <c r="P42" i="1"/>
  <c r="P38" i="1"/>
  <c r="U30" i="1"/>
  <c r="U22" i="1"/>
  <c r="Q20" i="1"/>
  <c r="R47" i="1"/>
  <c r="B159" i="1" s="1"/>
  <c r="R43" i="1"/>
  <c r="B155" i="1" s="1"/>
  <c r="R39" i="1"/>
  <c r="B151" i="1" s="1"/>
  <c r="R35" i="1"/>
  <c r="B147" i="1" s="1"/>
  <c r="P33" i="1"/>
  <c r="U46" i="1"/>
  <c r="U42" i="1"/>
  <c r="U38" i="1"/>
  <c r="V40" i="1"/>
  <c r="V36" i="1"/>
  <c r="T29" i="1"/>
  <c r="R22" i="1"/>
  <c r="B134" i="1" s="1"/>
  <c r="R26" i="1"/>
  <c r="B138" i="1" s="1"/>
  <c r="R30" i="1"/>
  <c r="B142" i="1" s="1"/>
  <c r="R34" i="1"/>
  <c r="B146" i="1" s="1"/>
  <c r="R38" i="1"/>
  <c r="B150" i="1" s="1"/>
  <c r="R42" i="1"/>
  <c r="B154" i="1" s="1"/>
  <c r="R46" i="1"/>
  <c r="B158" i="1" s="1"/>
  <c r="R20" i="1"/>
  <c r="R21" i="1"/>
  <c r="B133" i="1" s="1"/>
  <c r="R25" i="1"/>
  <c r="B137" i="1" s="1"/>
  <c r="R29" i="1"/>
  <c r="B141" i="1" s="1"/>
  <c r="R33" i="1"/>
  <c r="B145" i="1" s="1"/>
  <c r="R37" i="1"/>
  <c r="B149" i="1" s="1"/>
  <c r="R41" i="1"/>
  <c r="B153" i="1" s="1"/>
  <c r="R45" i="1"/>
  <c r="B157" i="1" s="1"/>
  <c r="R24" i="1"/>
  <c r="B136" i="1" s="1"/>
  <c r="R28" i="1"/>
  <c r="B140" i="1" s="1"/>
  <c r="R32" i="1"/>
  <c r="B144" i="1" s="1"/>
  <c r="O23" i="1"/>
  <c r="B168" i="1" s="1"/>
  <c r="O27" i="1"/>
  <c r="B172" i="1" s="1"/>
  <c r="O31" i="1"/>
  <c r="B176" i="1" s="1"/>
  <c r="O35" i="1"/>
  <c r="B180" i="1" s="1"/>
  <c r="O39" i="1"/>
  <c r="B184" i="1" s="1"/>
  <c r="O43" i="1"/>
  <c r="B188" i="1" s="1"/>
  <c r="O47" i="1"/>
  <c r="B192" i="1" s="1"/>
  <c r="O22" i="1"/>
  <c r="B167" i="1" s="1"/>
  <c r="O26" i="1"/>
  <c r="B171" i="1" s="1"/>
  <c r="O30" i="1"/>
  <c r="B175" i="1" s="1"/>
  <c r="O34" i="1"/>
  <c r="B179" i="1" s="1"/>
  <c r="O38" i="1"/>
  <c r="B183" i="1" s="1"/>
  <c r="O42" i="1"/>
  <c r="B187" i="1" s="1"/>
  <c r="O46" i="1"/>
  <c r="B191" i="1" s="1"/>
  <c r="O21" i="1"/>
  <c r="B166" i="1" s="1"/>
  <c r="O25" i="1"/>
  <c r="B170" i="1" s="1"/>
  <c r="O29" i="1"/>
  <c r="B174" i="1" s="1"/>
  <c r="O33" i="1"/>
  <c r="B178" i="1" s="1"/>
  <c r="N22" i="1"/>
  <c r="N26" i="1"/>
  <c r="N30" i="1"/>
  <c r="N34" i="1"/>
  <c r="N38" i="1"/>
  <c r="N42" i="1"/>
  <c r="N46" i="1"/>
  <c r="N20" i="1"/>
  <c r="N21" i="1"/>
  <c r="N25" i="1"/>
  <c r="N29" i="1"/>
  <c r="N33" i="1"/>
  <c r="N37" i="1"/>
  <c r="N41" i="1"/>
  <c r="N45" i="1"/>
  <c r="N24" i="1"/>
  <c r="N28" i="1"/>
  <c r="N32" i="1"/>
  <c r="P24" i="1"/>
  <c r="P28" i="1"/>
  <c r="P32" i="1"/>
  <c r="P36" i="1"/>
  <c r="P40" i="1"/>
  <c r="P44" i="1"/>
  <c r="P48" i="1"/>
  <c r="P23" i="1"/>
  <c r="P27" i="1"/>
  <c r="P31" i="1"/>
  <c r="P35" i="1"/>
  <c r="P39" i="1"/>
  <c r="P43" i="1"/>
  <c r="P47" i="1"/>
  <c r="P22" i="1"/>
  <c r="P26" i="1"/>
  <c r="P30" i="1"/>
  <c r="P34" i="1"/>
  <c r="P20" i="1"/>
  <c r="U20" i="1"/>
  <c r="T49" i="1"/>
  <c r="O49" i="1"/>
  <c r="B194" i="1" s="1"/>
  <c r="O48" i="1"/>
  <c r="B193" i="1" s="1"/>
  <c r="M47" i="1"/>
  <c r="Q46" i="1"/>
  <c r="T45" i="1"/>
  <c r="W44" i="1"/>
  <c r="O44" i="1"/>
  <c r="B189" i="1" s="1"/>
  <c r="M43" i="1"/>
  <c r="Q42" i="1"/>
  <c r="T41" i="1"/>
  <c r="W40" i="1"/>
  <c r="B119" i="1" s="1"/>
  <c r="O40" i="1"/>
  <c r="B185" i="1" s="1"/>
  <c r="M39" i="1"/>
  <c r="Q38" i="1"/>
  <c r="W36" i="1"/>
  <c r="O36" i="1"/>
  <c r="B181" i="1" s="1"/>
  <c r="O32" i="1"/>
  <c r="B177" i="1" s="1"/>
  <c r="N31" i="1"/>
  <c r="M30" i="1"/>
  <c r="W28" i="1"/>
  <c r="O24" i="1"/>
  <c r="B169" i="1" s="1"/>
  <c r="N23" i="1"/>
  <c r="M21" i="1"/>
  <c r="M25" i="1"/>
  <c r="M29" i="1"/>
  <c r="M33" i="1"/>
  <c r="M37" i="1"/>
  <c r="M41" i="1"/>
  <c r="M45" i="1"/>
  <c r="M49" i="1"/>
  <c r="M24" i="1"/>
  <c r="M28" i="1"/>
  <c r="M32" i="1"/>
  <c r="M36" i="1"/>
  <c r="M40" i="1"/>
  <c r="M44" i="1"/>
  <c r="M48" i="1"/>
  <c r="M23" i="1"/>
  <c r="M27" i="1"/>
  <c r="M31" i="1"/>
  <c r="M35" i="1"/>
  <c r="T24" i="1"/>
  <c r="T28" i="1"/>
  <c r="T32" i="1"/>
  <c r="T36" i="1"/>
  <c r="T40" i="1"/>
  <c r="T44" i="1"/>
  <c r="T48" i="1"/>
  <c r="T23" i="1"/>
  <c r="T27" i="1"/>
  <c r="T31" i="1"/>
  <c r="T35" i="1"/>
  <c r="T39" i="1"/>
  <c r="T43" i="1"/>
  <c r="T47" i="1"/>
  <c r="T22" i="1"/>
  <c r="T26" i="1"/>
  <c r="T30" i="1"/>
  <c r="T34" i="1"/>
  <c r="M20" i="1"/>
  <c r="W49" i="1"/>
  <c r="R49" i="1"/>
  <c r="B161" i="1" s="1"/>
  <c r="W48" i="1"/>
  <c r="R48" i="1"/>
  <c r="B160" i="1" s="1"/>
  <c r="V47" i="1"/>
  <c r="Q47" i="1"/>
  <c r="T46" i="1"/>
  <c r="M46" i="1"/>
  <c r="P45" i="1"/>
  <c r="V43" i="1"/>
  <c r="Q43" i="1"/>
  <c r="T42" i="1"/>
  <c r="M42" i="1"/>
  <c r="P41" i="1"/>
  <c r="V39" i="1"/>
  <c r="T38" i="1"/>
  <c r="M38" i="1"/>
  <c r="P37" i="1"/>
  <c r="N35" i="1"/>
  <c r="M34" i="1"/>
  <c r="W32" i="1"/>
  <c r="O28" i="1"/>
  <c r="B173" i="1" s="1"/>
  <c r="N27" i="1"/>
  <c r="M26" i="1"/>
  <c r="V22" i="1"/>
  <c r="V26" i="1"/>
  <c r="V30" i="1"/>
  <c r="V34" i="1"/>
  <c r="V38" i="1"/>
  <c r="V42" i="1"/>
  <c r="V46" i="1"/>
  <c r="V20" i="1"/>
  <c r="V21" i="1"/>
  <c r="V25" i="1"/>
  <c r="V29" i="1"/>
  <c r="V33" i="1"/>
  <c r="V37" i="1"/>
  <c r="V41" i="1"/>
  <c r="V45" i="1"/>
  <c r="V24" i="1"/>
  <c r="V28" i="1"/>
  <c r="V32" i="1"/>
  <c r="V44" i="1"/>
  <c r="V31" i="1"/>
  <c r="V23" i="1"/>
  <c r="T21" i="1"/>
  <c r="W23" i="1"/>
  <c r="W27" i="1"/>
  <c r="W31" i="1"/>
  <c r="W35" i="1"/>
  <c r="B114" i="1" s="1"/>
  <c r="W39" i="1"/>
  <c r="B118" i="1" s="1"/>
  <c r="W43" i="1"/>
  <c r="W47" i="1"/>
  <c r="B126" i="1" s="1"/>
  <c r="W22" i="1"/>
  <c r="W26" i="1"/>
  <c r="W30" i="1"/>
  <c r="W34" i="1"/>
  <c r="W38" i="1"/>
  <c r="W42" i="1"/>
  <c r="W46" i="1"/>
  <c r="W21" i="1"/>
  <c r="B100" i="1" s="1"/>
  <c r="W25" i="1"/>
  <c r="B104" i="1" s="1"/>
  <c r="W29" i="1"/>
  <c r="B108" i="1" s="1"/>
  <c r="W33" i="1"/>
  <c r="B112" i="1" s="1"/>
  <c r="Q21" i="1"/>
  <c r="Q25" i="1"/>
  <c r="Q29" i="1"/>
  <c r="Q33" i="1"/>
  <c r="Q37" i="1"/>
  <c r="Q41" i="1"/>
  <c r="Q45" i="1"/>
  <c r="Q49" i="1"/>
  <c r="Q24" i="1"/>
  <c r="Q28" i="1"/>
  <c r="Q32" i="1"/>
  <c r="Q36" i="1"/>
  <c r="Q40" i="1"/>
  <c r="Q44" i="1"/>
  <c r="Q23" i="1"/>
  <c r="Q27" i="1"/>
  <c r="Q31" i="1"/>
  <c r="Q35" i="1"/>
  <c r="U21" i="1"/>
  <c r="U25" i="1"/>
  <c r="U29" i="1"/>
  <c r="U33" i="1"/>
  <c r="U37" i="1"/>
  <c r="U41" i="1"/>
  <c r="U45" i="1"/>
  <c r="U49" i="1"/>
  <c r="U24" i="1"/>
  <c r="U28" i="1"/>
  <c r="U32" i="1"/>
  <c r="U36" i="1"/>
  <c r="U40" i="1"/>
  <c r="U44" i="1"/>
  <c r="U23" i="1"/>
  <c r="U27" i="1"/>
  <c r="U31" i="1"/>
  <c r="O20" i="1"/>
  <c r="B165" i="1" s="1"/>
  <c r="T20" i="1"/>
  <c r="V49" i="1"/>
  <c r="P49" i="1"/>
  <c r="V48" i="1"/>
  <c r="Q48" i="1"/>
  <c r="U47" i="1"/>
  <c r="N47" i="1"/>
  <c r="W45" i="1"/>
  <c r="O45" i="1"/>
  <c r="B190" i="1" s="1"/>
  <c r="R44" i="1"/>
  <c r="B156" i="1" s="1"/>
  <c r="U43" i="1"/>
  <c r="N43" i="1"/>
  <c r="W41" i="1"/>
  <c r="O41" i="1"/>
  <c r="B186" i="1" s="1"/>
  <c r="R40" i="1"/>
  <c r="B152" i="1" s="1"/>
  <c r="U39" i="1"/>
  <c r="N39" i="1"/>
  <c r="W37" i="1"/>
  <c r="O37" i="1"/>
  <c r="B182" i="1" s="1"/>
  <c r="R36" i="1"/>
  <c r="B148" i="1" s="1"/>
  <c r="U35" i="1"/>
  <c r="U34" i="1"/>
  <c r="T33" i="1"/>
  <c r="R31" i="1"/>
  <c r="B143" i="1" s="1"/>
  <c r="Q30" i="1"/>
  <c r="P29" i="1"/>
  <c r="V27" i="1"/>
  <c r="U26" i="1"/>
  <c r="T25" i="1"/>
  <c r="R23" i="1"/>
  <c r="B135" i="1" s="1"/>
  <c r="Q22" i="1"/>
  <c r="P21" i="1"/>
  <c r="B120" i="1" l="1"/>
  <c r="B111" i="1"/>
  <c r="B113" i="1"/>
  <c r="B110" i="1"/>
  <c r="B124" i="1"/>
  <c r="B125" i="1"/>
  <c r="B109" i="1"/>
  <c r="B123" i="1"/>
  <c r="B122" i="1"/>
  <c r="B128" i="1"/>
  <c r="J190" i="1"/>
  <c r="J194" i="1"/>
  <c r="J192" i="1"/>
  <c r="J188" i="1"/>
  <c r="J186" i="1"/>
  <c r="J189" i="1"/>
  <c r="J191" i="1"/>
  <c r="J187" i="1"/>
  <c r="J185" i="1"/>
  <c r="J193" i="1"/>
  <c r="B121" i="1"/>
  <c r="B105" i="1"/>
  <c r="B127" i="1"/>
  <c r="B115" i="1"/>
  <c r="J154" i="1"/>
  <c r="J155" i="1"/>
  <c r="J157" i="1"/>
  <c r="J156" i="1"/>
  <c r="J159" i="1"/>
  <c r="J152" i="1"/>
  <c r="J153" i="1"/>
  <c r="J158" i="1"/>
  <c r="J161" i="1"/>
  <c r="J160" i="1"/>
  <c r="B102" i="1"/>
  <c r="B116" i="1"/>
  <c r="B117" i="1"/>
  <c r="B101" i="1"/>
  <c r="B99" i="1"/>
  <c r="J136" i="1"/>
  <c r="J142" i="1"/>
  <c r="J150" i="1"/>
  <c r="J145" i="1"/>
  <c r="J147" i="1"/>
  <c r="J146" i="1"/>
  <c r="J151" i="1"/>
  <c r="J140" i="1"/>
  <c r="J138" i="1"/>
  <c r="J139" i="1"/>
  <c r="J141" i="1"/>
  <c r="J143" i="1"/>
  <c r="J137" i="1"/>
  <c r="J149" i="1"/>
  <c r="J144" i="1"/>
  <c r="J148" i="1"/>
  <c r="J171" i="1"/>
  <c r="J179" i="1"/>
  <c r="J181" i="1"/>
  <c r="J177" i="1"/>
  <c r="J183" i="1"/>
  <c r="J175" i="1"/>
  <c r="J172" i="1"/>
  <c r="J170" i="1"/>
  <c r="J169" i="1"/>
  <c r="J180" i="1"/>
  <c r="J182" i="1"/>
  <c r="J173" i="1"/>
  <c r="J176" i="1"/>
  <c r="J178" i="1"/>
  <c r="J184" i="1"/>
  <c r="J174" i="1"/>
  <c r="B106" i="1"/>
  <c r="B107" i="1"/>
  <c r="B103" i="1"/>
  <c r="F251" i="1" l="1"/>
  <c r="G214" i="1" s="1"/>
  <c r="B17" i="4" s="1"/>
  <c r="G251" i="1" l="1"/>
  <c r="H251" i="1"/>
  <c r="G200" i="1" s="1"/>
  <c r="G203" i="1" l="1"/>
  <c r="G199" i="1"/>
  <c r="G209" i="1" l="1"/>
  <c r="C17" i="4"/>
  <c r="I245" i="1"/>
  <c r="I250" i="1"/>
  <c r="I247" i="1"/>
  <c r="I249" i="1"/>
  <c r="I241" i="1"/>
  <c r="I242" i="1"/>
  <c r="I246" i="1"/>
  <c r="I244" i="1"/>
  <c r="I243" i="1"/>
  <c r="I248" i="1"/>
  <c r="I222" i="1"/>
  <c r="I230" i="1"/>
  <c r="I223" i="1"/>
  <c r="I227" i="1"/>
  <c r="I231" i="1"/>
  <c r="I235" i="1"/>
  <c r="I239" i="1"/>
  <c r="I221" i="1"/>
  <c r="I232" i="1"/>
  <c r="I236" i="1"/>
  <c r="I240" i="1"/>
  <c r="I224" i="1"/>
  <c r="I228" i="1"/>
  <c r="I225" i="1"/>
  <c r="I229" i="1"/>
  <c r="I233" i="1"/>
  <c r="I237" i="1"/>
  <c r="I226" i="1"/>
  <c r="I234" i="1"/>
  <c r="I238" i="1"/>
  <c r="G211" i="1"/>
  <c r="G201" i="1" l="1"/>
  <c r="G207" i="1" l="1"/>
  <c r="G202" i="1"/>
  <c r="G204" i="1" s="1"/>
  <c r="G208" i="1"/>
  <c r="G206" i="1"/>
  <c r="G210" i="1"/>
  <c r="G212" i="1"/>
  <c r="G205" i="1" l="1"/>
  <c r="G213" i="1" s="1"/>
  <c r="E17" i="4" s="1"/>
  <c r="D17" i="4"/>
</calcChain>
</file>

<file path=xl/sharedStrings.xml><?xml version="1.0" encoding="utf-8"?>
<sst xmlns="http://schemas.openxmlformats.org/spreadsheetml/2006/main" count="264" uniqueCount="127">
  <si>
    <t>Дата</t>
  </si>
  <si>
    <t>№ п/п</t>
  </si>
  <si>
    <r>
      <t>X</t>
    </r>
    <r>
      <rPr>
        <vertAlign val="subscript"/>
        <sz val="12"/>
        <color theme="1"/>
        <rFont val="Times New Roman"/>
        <family val="1"/>
        <charset val="204"/>
      </rPr>
      <t>1</t>
    </r>
  </si>
  <si>
    <r>
      <t>X</t>
    </r>
    <r>
      <rPr>
        <vertAlign val="subscript"/>
        <sz val="12"/>
        <color theme="1"/>
        <rFont val="Times New Roman"/>
        <family val="1"/>
        <charset val="204"/>
      </rPr>
      <t>2</t>
    </r>
  </si>
  <si>
    <r>
      <t>X</t>
    </r>
    <r>
      <rPr>
        <vertAlign val="subscript"/>
        <sz val="12"/>
        <color theme="1"/>
        <rFont val="Times New Roman"/>
        <family val="1"/>
        <charset val="204"/>
      </rPr>
      <t>ср</t>
    </r>
  </si>
  <si>
    <t xml:space="preserve"> </t>
  </si>
  <si>
    <t>Вывод о несоответствии результата
контрольной процедуры пределам
действия или предупреждения</t>
  </si>
  <si>
    <t>Контрольная карта:</t>
  </si>
  <si>
    <t>Период заполнения контрольной карты</t>
  </si>
  <si>
    <t>Единица измерения</t>
  </si>
  <si>
    <t>Методика анализа</t>
  </si>
  <si>
    <t>Определяемый показатель</t>
  </si>
  <si>
    <t>Объект</t>
  </si>
  <si>
    <t>для контроля точности</t>
  </si>
  <si>
    <t>для контроля повторяемости</t>
  </si>
  <si>
    <t>для контроля внутрилабораторной прецизионности</t>
  </si>
  <si>
    <t>Среднеквадратическое отклонение внутрилабораторной прецизионности, %</t>
  </si>
  <si>
    <t>Среднеквадратическое отклонение повторяемости, %</t>
  </si>
  <si>
    <t>нижний</t>
  </si>
  <si>
    <t>верхний</t>
  </si>
  <si>
    <t>п</t>
  </si>
  <si>
    <r>
      <t>а</t>
    </r>
    <r>
      <rPr>
        <i/>
        <vertAlign val="subscript"/>
        <sz val="10"/>
        <color rgb="FF000000"/>
        <rFont val="Times New Roman"/>
        <family val="1"/>
        <charset val="204"/>
      </rPr>
      <t>п</t>
    </r>
  </si>
  <si>
    <r>
      <t>А</t>
    </r>
    <r>
      <rPr>
        <vertAlign val="subscript"/>
        <sz val="10"/>
        <color rgb="FF000000"/>
        <rFont val="Times New Roman"/>
        <family val="1"/>
        <charset val="204"/>
      </rPr>
      <t>1,</t>
    </r>
    <r>
      <rPr>
        <i/>
        <vertAlign val="subscript"/>
        <sz val="10"/>
        <color rgb="FF000000"/>
        <rFont val="Times New Roman"/>
        <family val="1"/>
        <charset val="204"/>
      </rPr>
      <t>п</t>
    </r>
  </si>
  <si>
    <r>
      <t>А</t>
    </r>
    <r>
      <rPr>
        <vertAlign val="subscript"/>
        <sz val="10"/>
        <color rgb="FF000000"/>
        <rFont val="Times New Roman"/>
        <family val="1"/>
        <charset val="204"/>
      </rPr>
      <t>2,</t>
    </r>
    <r>
      <rPr>
        <i/>
        <vertAlign val="subscript"/>
        <sz val="10"/>
        <color rgb="FF000000"/>
        <rFont val="Times New Roman"/>
        <family val="1"/>
        <charset val="204"/>
      </rPr>
      <t>п</t>
    </r>
  </si>
  <si>
    <t>при контроле
внутрилабораторной
прецизионности</t>
  </si>
  <si>
    <t>при контроле повторяемости</t>
  </si>
  <si>
    <t>при контроле точности</t>
  </si>
  <si>
    <t>ККШ повторяемости</t>
  </si>
  <si>
    <t>ККШ внутрилабораторной прецизионности</t>
  </si>
  <si>
    <t>ККШ точности</t>
  </si>
  <si>
    <t>Контрольные карты Шухарта</t>
  </si>
  <si>
    <t>Одна точка вышла за предел действия</t>
  </si>
  <si>
    <t>9 точек подряд
находятся выше средней линии</t>
  </si>
  <si>
    <t>6 возрастающих точек подряд</t>
  </si>
  <si>
    <t>2 из 3 последовательных точек находятся выше предела предупреждения</t>
  </si>
  <si>
    <t>4 из 5 последовательных точек находятся выше половинной границы зоны предупреждения</t>
  </si>
  <si>
    <t>—</t>
  </si>
  <si>
    <t>Половинная граница зоны предупреждения</t>
  </si>
  <si>
    <t>9 точек подряд находятся по одну сторону от средней линии</t>
  </si>
  <si>
    <t>6 возрастающих
или убывающих точек подряд</t>
  </si>
  <si>
    <t>4 из 5 последовательных точек находятся выше половинной границы верхней или нижней зоны предупреждения</t>
  </si>
  <si>
    <t>Критерий Стьюдента t</t>
  </si>
  <si>
    <r>
      <t>Критерий Стьюдента табличный t</t>
    </r>
    <r>
      <rPr>
        <vertAlign val="subscript"/>
        <sz val="12"/>
        <color theme="1"/>
        <rFont val="Times New Roman"/>
        <family val="1"/>
        <charset val="204"/>
      </rPr>
      <t>табл</t>
    </r>
  </si>
  <si>
    <t>Смещение результатов в лаборатории</t>
  </si>
  <si>
    <r>
      <t xml:space="preserve">Условие t </t>
    </r>
    <r>
      <rPr>
        <sz val="12"/>
        <color theme="1"/>
        <rFont val="Calibri"/>
        <family val="2"/>
        <charset val="204"/>
      </rPr>
      <t>≤</t>
    </r>
    <r>
      <rPr>
        <sz val="12"/>
        <color theme="1"/>
        <rFont val="Times New Roman"/>
        <family val="1"/>
        <charset val="204"/>
      </rPr>
      <t xml:space="preserve"> t</t>
    </r>
    <r>
      <rPr>
        <vertAlign val="subscript"/>
        <sz val="12"/>
        <color theme="1"/>
        <rFont val="Times New Roman"/>
        <family val="1"/>
        <charset val="204"/>
      </rPr>
      <t>табл</t>
    </r>
  </si>
  <si>
    <t>Аттестованное значение образца для контроля, %</t>
  </si>
  <si>
    <t>Молоко сухое</t>
  </si>
  <si>
    <t xml:space="preserve">Массовая доля кадмия </t>
  </si>
  <si>
    <t>мк/кг</t>
  </si>
  <si>
    <t>АНАЛИЗ ККШ ТОЧНОСТИ</t>
  </si>
  <si>
    <t>АНАЛИЗ ККШ ВНУТРИЛАБОРАТОРНОЙ ПРЕЦИЗИОННОСТИ</t>
  </si>
  <si>
    <t>АНАЛИЗ ККШ ПОВТОРЯЕМОСТИ</t>
  </si>
  <si>
    <t>Показатель точности, %</t>
  </si>
  <si>
    <t>Расчет новых значений показателей качества результатов анализа</t>
  </si>
  <si>
    <t>Результаты контрольных измерений</t>
  </si>
  <si>
    <t>Результат контрольной процедуры, отн. ед.</t>
  </si>
  <si>
    <t>Пределы действия, отн. ед.</t>
  </si>
  <si>
    <t>Пределы предупреждения, отн. ед.</t>
  </si>
  <si>
    <t>Средняя линия, отн. ед.</t>
  </si>
  <si>
    <t>Исполнитель</t>
  </si>
  <si>
    <t>И.И. Иванов</t>
  </si>
  <si>
    <t>П.П. Петров</t>
  </si>
  <si>
    <t>И.П. Сидоров</t>
  </si>
  <si>
    <t>СКО повторяемости, %</t>
  </si>
  <si>
    <t>СКО внутрилабораторной прецизионности, %</t>
  </si>
  <si>
    <t>Данные для построения контрольных карт Шухарта</t>
  </si>
  <si>
    <t>Аттестованная методика измерений определения содержания токсичных элементов (кадмия, свинца, меди и цинка) в продуктах пищевых и продовольственном сырье инверсионно-вольтамперометрическими методами</t>
  </si>
  <si>
    <t>Число контрольных процедур</t>
  </si>
  <si>
    <t>Данные внутреннего контроля качества результатов анализа</t>
  </si>
  <si>
    <t>Внутрилабораторная прецизионность
(точечная оценка), %</t>
  </si>
  <si>
    <t>Наименование показателя</t>
  </si>
  <si>
    <t>Формула</t>
  </si>
  <si>
    <t>Значение</t>
  </si>
  <si>
    <t>Оценка смещения результатов анализа в лаборатории, %</t>
  </si>
  <si>
    <t>Точечная оценка показателя правильности, %</t>
  </si>
  <si>
    <r>
      <t>проверка условия
t ≤ t</t>
    </r>
    <r>
      <rPr>
        <vertAlign val="subscript"/>
        <sz val="12"/>
        <color theme="1"/>
        <rFont val="Times New Roman"/>
        <family val="1"/>
        <charset val="204"/>
      </rPr>
      <t>табл</t>
    </r>
  </si>
  <si>
    <t>статистические таблицы (Г.2)</t>
  </si>
  <si>
    <r>
      <t>Интервальная оценка показателя правильности
(при t ≤ t</t>
    </r>
    <r>
      <rPr>
        <vertAlign val="subscript"/>
        <sz val="12"/>
        <color theme="1"/>
        <rFont val="Times New Roman"/>
        <family val="1"/>
        <charset val="204"/>
      </rPr>
      <t>табл</t>
    </r>
    <r>
      <rPr>
        <sz val="12"/>
        <color theme="1"/>
        <rFont val="Times New Roman"/>
        <family val="1"/>
        <charset val="204"/>
      </rPr>
      <t>), %</t>
    </r>
  </si>
  <si>
    <r>
      <t>Интервальная оценка показателя правильности
(при t &gt; t</t>
    </r>
    <r>
      <rPr>
        <vertAlign val="subscript"/>
        <sz val="12"/>
        <color theme="1"/>
        <rFont val="Times New Roman"/>
        <family val="1"/>
        <charset val="204"/>
      </rPr>
      <t>табл</t>
    </r>
    <r>
      <rPr>
        <sz val="12"/>
        <color theme="1"/>
        <rFont val="Times New Roman"/>
        <family val="1"/>
        <charset val="204"/>
      </rPr>
      <t>), %</t>
    </r>
  </si>
  <si>
    <t>Повтряемость (точечная оценка), %</t>
  </si>
  <si>
    <t>аналогично внутрилб. прецизионности</t>
  </si>
  <si>
    <t>формула 19.2
РМГ 61-2010</t>
  </si>
  <si>
    <t>Примечание: Результаты контрольных процедур, превышающие пределы действия из расчета новых значений показателей качества результатов анализа исключены.</t>
  </si>
  <si>
    <t>Проверка условия</t>
  </si>
  <si>
    <t>Оценка показателя точности (в протокол), %</t>
  </si>
  <si>
    <r>
      <t xml:space="preserve">Оценка показателя точности (при t </t>
    </r>
    <r>
      <rPr>
        <sz val="12"/>
        <color theme="1"/>
        <rFont val="Calibri"/>
        <family val="2"/>
        <charset val="204"/>
      </rPr>
      <t>≤</t>
    </r>
    <r>
      <rPr>
        <sz val="12"/>
        <color theme="1"/>
        <rFont val="Times New Roman"/>
        <family val="1"/>
        <charset val="204"/>
      </rPr>
      <t xml:space="preserve"> t</t>
    </r>
    <r>
      <rPr>
        <vertAlign val="subscript"/>
        <sz val="12"/>
        <color theme="1"/>
        <rFont val="Times New Roman"/>
        <family val="1"/>
        <charset val="204"/>
      </rPr>
      <t>табл</t>
    </r>
    <r>
      <rPr>
        <sz val="12"/>
        <color theme="1"/>
        <rFont val="Times New Roman"/>
        <family val="1"/>
        <charset val="204"/>
      </rPr>
      <t xml:space="preserve"> и условие 1/3 выполняется), %</t>
    </r>
  </si>
  <si>
    <r>
      <t xml:space="preserve">Оценка показателя точности (при t </t>
    </r>
    <r>
      <rPr>
        <sz val="12"/>
        <color theme="1"/>
        <rFont val="Calibri"/>
        <family val="2"/>
        <charset val="204"/>
      </rPr>
      <t>≤</t>
    </r>
    <r>
      <rPr>
        <sz val="12"/>
        <color theme="1"/>
        <rFont val="Times New Roman"/>
        <family val="1"/>
        <charset val="204"/>
      </rPr>
      <t xml:space="preserve"> t</t>
    </r>
    <r>
      <rPr>
        <vertAlign val="subscript"/>
        <sz val="12"/>
        <color theme="1"/>
        <rFont val="Times New Roman"/>
        <family val="1"/>
        <charset val="204"/>
      </rPr>
      <t>табл</t>
    </r>
    <r>
      <rPr>
        <sz val="12"/>
        <color theme="1"/>
        <rFont val="Times New Roman"/>
        <family val="1"/>
        <charset val="204"/>
      </rPr>
      <t xml:space="preserve"> и условие 1/3 не выполняется), %</t>
    </r>
  </si>
  <si>
    <r>
      <t>Оценка показателя точности (при t &gt; t</t>
    </r>
    <r>
      <rPr>
        <vertAlign val="subscript"/>
        <sz val="12"/>
        <color theme="1"/>
        <rFont val="Times New Roman"/>
        <family val="1"/>
        <charset val="204"/>
      </rPr>
      <t>табл</t>
    </r>
    <r>
      <rPr>
        <sz val="12"/>
        <color theme="1"/>
        <rFont val="Times New Roman"/>
        <family val="1"/>
        <charset val="204"/>
      </rPr>
      <t xml:space="preserve"> и условие 1/3 выполняется), %</t>
    </r>
  </si>
  <si>
    <r>
      <t>Оценка показателя точности (при t &gt; t</t>
    </r>
    <r>
      <rPr>
        <vertAlign val="subscript"/>
        <sz val="12"/>
        <color theme="1"/>
        <rFont val="Times New Roman"/>
        <family val="1"/>
        <charset val="204"/>
      </rPr>
      <t>табл</t>
    </r>
    <r>
      <rPr>
        <sz val="12"/>
        <color theme="1"/>
        <rFont val="Times New Roman"/>
        <family val="1"/>
        <charset val="204"/>
      </rPr>
      <t xml:space="preserve"> и условие 1/3 не выполняется), %</t>
    </r>
  </si>
  <si>
    <t>Наименование и диапазон измерений определяемых компонентов, единиц измерений</t>
  </si>
  <si>
    <t>Диапазон методики</t>
  </si>
  <si>
    <t>от 0,005 до 1,5 вкл.</t>
  </si>
  <si>
    <t>Показатель повторяемости результатов анализа в виде СКО, %</t>
  </si>
  <si>
    <t>Показатель внутрилабораторной прецизионности результатов анализа в виде СКО, %</t>
  </si>
  <si>
    <t>Показатель правильности результатов анализа, %</t>
  </si>
  <si>
    <t xml:space="preserve">Показатель точности результатов анализа, %
</t>
  </si>
  <si>
    <t>Протокол
установленных показателей качества результатов анализа при реализации методики анализа в лаборатории</t>
  </si>
  <si>
    <t>Наименование лаборатории, применяющей данную методику</t>
  </si>
  <si>
    <t xml:space="preserve">Наименование методики анализа </t>
  </si>
  <si>
    <t xml:space="preserve">Обозначение НД на методику анализа </t>
  </si>
  <si>
    <t>контрольных измерений</t>
  </si>
  <si>
    <t>Обозначение НД на методику анализа</t>
  </si>
  <si>
    <t>МУК ХХХХХ</t>
  </si>
  <si>
    <t>Наиманование лаборатории</t>
  </si>
  <si>
    <t>Лаборатория ООО "Рога и копыта"</t>
  </si>
  <si>
    <t>Менеджер по качеству</t>
  </si>
  <si>
    <t>УТВЕРЖДАЮ</t>
  </si>
  <si>
    <t>" ___ " ____________ 20 ___ г.</t>
  </si>
  <si>
    <t>Должность руководителя лаборатории</t>
  </si>
  <si>
    <t>И.О. Фамилия руководителя лаборатории</t>
  </si>
  <si>
    <t>Должность ответственного за ВКК</t>
  </si>
  <si>
    <t>И.О. Фамилия ответственного за ВКК</t>
  </si>
  <si>
    <t>Заведущий лабораторией</t>
  </si>
  <si>
    <t>П.П. Иваненко</t>
  </si>
  <si>
    <t>И.И. Петренко</t>
  </si>
  <si>
    <t>Показатели качества результатов анализа были оценены на основе даннвх</t>
  </si>
  <si>
    <t>полученных в период</t>
  </si>
  <si>
    <t>Автоматизированная процедура построения, анализа контрольных карт Шухарта в относительных единицах с использованием ОК и расчета новых значений показателей качества методики анализа.
Для свободного распространения, модификации, улучшения и т.п. (со ссылкой на автора)
02.03.2016 © Д.А. Цимбаленко</t>
  </si>
  <si>
    <r>
      <t>модуль значений 8 последовательных точек превышает значение K</t>
    </r>
    <r>
      <rPr>
        <b/>
        <vertAlign val="subscript"/>
        <sz val="12"/>
        <color theme="1"/>
        <rFont val="Times New Roman"/>
        <family val="1"/>
        <charset val="204"/>
      </rPr>
      <t>пр</t>
    </r>
    <r>
      <rPr>
        <b/>
        <sz val="12"/>
        <color theme="1"/>
        <rFont val="Times New Roman"/>
        <family val="1"/>
        <charset val="204"/>
      </rPr>
      <t>/2</t>
    </r>
  </si>
  <si>
    <t xml:space="preserve">γ = </t>
  </si>
  <si>
    <t xml:space="preserve">L, при условии
А ≤ 0,33 </t>
  </si>
  <si>
    <t>А</t>
  </si>
  <si>
    <t>для повторяемости</t>
  </si>
  <si>
    <t>Число контрольных процедур, L</t>
  </si>
  <si>
    <t>для внутрилабораторной прецизионности</t>
  </si>
  <si>
    <t>для точности</t>
  </si>
  <si>
    <t>Расчет числа результатов контрольных процедур,
необходимых для достоверной оценки новых значений показателей качества результатов анализа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</si>
</sst>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vertAlign val="subscript"/>
      <sz val="10"/>
      <color rgb="FF000000"/>
      <name val="Times New Roman"/>
      <family val="1"/>
      <charset val="204"/>
    </font>
    <font>
      <vertAlign val="subscript"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</font>
    <font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4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vertAlign val="subscript"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0" xfId="0" applyAlignment="1"/>
    <xf numFmtId="0" fontId="1" fillId="0" borderId="0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left"/>
    </xf>
    <xf numFmtId="2" fontId="1" fillId="0" borderId="0" xfId="0" applyNumberFormat="1" applyFont="1" applyAlignment="1">
      <alignment horizontal="left"/>
    </xf>
    <xf numFmtId="0" fontId="7" fillId="0" borderId="0" xfId="0" applyFont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3" xfId="0" applyFont="1" applyBorder="1" applyAlignment="1">
      <alignment horizontal="left" vertical="center"/>
    </xf>
    <xf numFmtId="0" fontId="1" fillId="0" borderId="2" xfId="0" applyFont="1" applyFill="1" applyBorder="1" applyAlignment="1" applyProtection="1">
      <alignment horizontal="left"/>
    </xf>
    <xf numFmtId="0" fontId="1" fillId="0" borderId="6" xfId="0" applyFont="1" applyFill="1" applyBorder="1"/>
    <xf numFmtId="0" fontId="1" fillId="0" borderId="3" xfId="0" applyFont="1" applyFill="1" applyBorder="1"/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 applyProtection="1">
      <alignment horizontal="left" vertical="center"/>
    </xf>
    <xf numFmtId="14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0" xfId="0" applyFont="1" applyFill="1"/>
    <xf numFmtId="0" fontId="1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1" fillId="0" borderId="5" xfId="0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0" fillId="0" borderId="0" xfId="0" applyFont="1" applyFill="1"/>
    <xf numFmtId="0" fontId="0" fillId="0" borderId="0" xfId="0" applyFill="1"/>
    <xf numFmtId="0" fontId="1" fillId="0" borderId="0" xfId="0" applyFont="1" applyAlignment="1">
      <alignment horizontal="left" vertical="center"/>
    </xf>
    <xf numFmtId="0" fontId="1" fillId="4" borderId="2" xfId="0" applyFont="1" applyFill="1" applyBorder="1" applyAlignment="1" applyProtection="1">
      <alignment horizontal="left" vertical="center"/>
      <protection locked="0"/>
    </xf>
    <xf numFmtId="14" fontId="1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Protection="1">
      <protection locked="0"/>
    </xf>
    <xf numFmtId="1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1" xfId="0" applyFont="1" applyBorder="1" applyAlignment="1">
      <alignment horizontal="center"/>
    </xf>
    <xf numFmtId="0" fontId="15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1" fillId="4" borderId="2" xfId="0" applyFont="1" applyFill="1" applyBorder="1" applyAlignment="1" applyProtection="1">
      <alignment horizontal="left" vertical="center"/>
      <protection locked="0"/>
    </xf>
    <xf numFmtId="0" fontId="0" fillId="4" borderId="3" xfId="0" applyFill="1" applyBorder="1" applyAlignment="1" applyProtection="1">
      <alignment horizontal="left" vertical="center"/>
      <protection locked="0"/>
    </xf>
    <xf numFmtId="0" fontId="1" fillId="4" borderId="2" xfId="0" applyFont="1" applyFill="1" applyBorder="1" applyAlignment="1" applyProtection="1">
      <alignment horizontal="left" vertical="center" wrapText="1"/>
      <protection locked="0"/>
    </xf>
    <xf numFmtId="0" fontId="0" fillId="4" borderId="3" xfId="0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/>
    <xf numFmtId="0" fontId="0" fillId="0" borderId="1" xfId="0" applyBorder="1" applyAlignment="1"/>
    <xf numFmtId="0" fontId="1" fillId="4" borderId="1" xfId="0" applyFont="1" applyFill="1" applyBorder="1" applyAlignment="1" applyProtection="1">
      <protection locked="0"/>
    </xf>
    <xf numFmtId="0" fontId="0" fillId="4" borderId="1" xfId="0" applyFill="1" applyBorder="1" applyAlignment="1" applyProtection="1">
      <protection locked="0"/>
    </xf>
    <xf numFmtId="0" fontId="1" fillId="0" borderId="2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0" fillId="0" borderId="3" xfId="0" applyBorder="1" applyAlignment="1"/>
    <xf numFmtId="0" fontId="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7" fillId="0" borderId="0" xfId="0" applyFont="1" applyFill="1" applyAlignment="1" applyProtection="1">
      <alignment horizontal="center" vertical="center" wrapText="1"/>
    </xf>
    <xf numFmtId="0" fontId="14" fillId="0" borderId="0" xfId="0" applyFont="1" applyFill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0" fillId="0" borderId="6" xfId="0" applyFill="1" applyBorder="1" applyAlignment="1"/>
    <xf numFmtId="0" fontId="0" fillId="0" borderId="3" xfId="0" applyFill="1" applyBorder="1" applyAlignment="1"/>
    <xf numFmtId="0" fontId="1" fillId="0" borderId="2" xfId="0" applyFont="1" applyBorder="1" applyAlignment="1">
      <alignment vertical="center"/>
    </xf>
    <xf numFmtId="0" fontId="0" fillId="0" borderId="6" xfId="0" applyBorder="1" applyAlignment="1"/>
    <xf numFmtId="0" fontId="1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1" fillId="0" borderId="2" xfId="0" applyFont="1" applyFill="1" applyBorder="1" applyAlignment="1" applyProtection="1">
      <alignment vertical="center" wrapText="1"/>
    </xf>
    <xf numFmtId="0" fontId="1" fillId="0" borderId="6" xfId="0" applyFont="1" applyFill="1" applyBorder="1" applyAlignment="1" applyProtection="1">
      <alignment vertical="center" wrapText="1"/>
    </xf>
    <xf numFmtId="0" fontId="1" fillId="0" borderId="3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vertical="center"/>
    </xf>
    <xf numFmtId="0" fontId="1" fillId="0" borderId="6" xfId="0" applyFont="1" applyFill="1" applyBorder="1" applyAlignment="1" applyProtection="1">
      <alignment vertical="center"/>
    </xf>
    <xf numFmtId="0" fontId="1" fillId="0" borderId="3" xfId="0" applyFont="1" applyFill="1" applyBorder="1" applyAlignment="1" applyProtection="1">
      <alignment vertical="center"/>
    </xf>
    <xf numFmtId="0" fontId="1" fillId="0" borderId="5" xfId="0" applyFont="1" applyBorder="1" applyAlignment="1">
      <alignment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vertical="center"/>
    </xf>
    <xf numFmtId="0" fontId="7" fillId="0" borderId="0" xfId="0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1" fillId="0" borderId="11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12" fillId="0" borderId="0" xfId="0" applyFont="1" applyAlignment="1">
      <alignment horizontal="center" wrapText="1"/>
    </xf>
    <xf numFmtId="0" fontId="0" fillId="0" borderId="6" xfId="0" applyFont="1" applyBorder="1" applyAlignment="1">
      <alignment horizontal="left" wrapText="1"/>
    </xf>
    <xf numFmtId="0" fontId="11" fillId="0" borderId="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Контроль точности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6.1197302044403316E-2"/>
          <c:y val="9.8299596870842929E-2"/>
          <c:w val="0.90418768736298916"/>
          <c:h val="0.8326195683872849"/>
        </c:manualLayout>
      </c:layout>
      <c:lineChart>
        <c:grouping val="standard"/>
        <c:varyColors val="0"/>
        <c:ser>
          <c:idx val="0"/>
          <c:order val="0"/>
          <c:tx>
            <c:v>Точность</c:v>
          </c:tx>
          <c:marker>
            <c:symbol val="diamond"/>
            <c:size val="8"/>
            <c:spPr>
              <a:solidFill>
                <a:srgbClr val="7030A0"/>
              </a:solidFill>
            </c:spPr>
          </c:marker>
          <c:val>
            <c:numRef>
              <c:f>ККШ!$H$20:$H$49</c:f>
              <c:numCache>
                <c:formatCode>General</c:formatCode>
                <c:ptCount val="30"/>
                <c:pt idx="0">
                  <c:v>6.6666666666666735E-2</c:v>
                </c:pt>
                <c:pt idx="1">
                  <c:v>-1.9999999999999879E-2</c:v>
                </c:pt>
                <c:pt idx="2">
                  <c:v>9.333333333333324E-2</c:v>
                </c:pt>
                <c:pt idx="3">
                  <c:v>0.12666666666666659</c:v>
                </c:pt>
                <c:pt idx="4">
                  <c:v>0.13333333333333347</c:v>
                </c:pt>
                <c:pt idx="5">
                  <c:v>-1.9999999999999997E-2</c:v>
                </c:pt>
                <c:pt idx="6">
                  <c:v>0.20000000000000018</c:v>
                </c:pt>
                <c:pt idx="7">
                  <c:v>-9.9999999999999867E-2</c:v>
                </c:pt>
                <c:pt idx="8">
                  <c:v>-0.13999999999999996</c:v>
                </c:pt>
                <c:pt idx="9">
                  <c:v>-0.32999999999999996</c:v>
                </c:pt>
                <c:pt idx="10">
                  <c:v>-0.13333333333333322</c:v>
                </c:pt>
                <c:pt idx="11">
                  <c:v>0.30000000000000004</c:v>
                </c:pt>
                <c:pt idx="12">
                  <c:v>-6.6666666666666263E-3</c:v>
                </c:pt>
                <c:pt idx="13">
                  <c:v>8.6666666666666836E-2</c:v>
                </c:pt>
                <c:pt idx="14">
                  <c:v>7.3333333333333361E-2</c:v>
                </c:pt>
                <c:pt idx="15">
                  <c:v>6.0000000000000102E-2</c:v>
                </c:pt>
                <c:pt idx="16">
                  <c:v>3.9999999999999994E-2</c:v>
                </c:pt>
                <c:pt idx="17">
                  <c:v>2.6666666666666738E-2</c:v>
                </c:pt>
                <c:pt idx="18">
                  <c:v>0</c:v>
                </c:pt>
                <c:pt idx="19">
                  <c:v>-3.3333333333333368E-2</c:v>
                </c:pt>
                <c:pt idx="20">
                  <c:v>0.11999999999999997</c:v>
                </c:pt>
                <c:pt idx="21">
                  <c:v>-9.9999999999999978E-2</c:v>
                </c:pt>
                <c:pt idx="22">
                  <c:v>5.3333333333333476E-2</c:v>
                </c:pt>
                <c:pt idx="23">
                  <c:v>-0.12333333333333341</c:v>
                </c:pt>
                <c:pt idx="24">
                  <c:v>-6.6666666666666263E-3</c:v>
                </c:pt>
                <c:pt idx="25">
                  <c:v>0.1200000000000002</c:v>
                </c:pt>
                <c:pt idx="26">
                  <c:v>-7.3333333333333361E-2</c:v>
                </c:pt>
                <c:pt idx="27">
                  <c:v>-1.3333333333333253E-2</c:v>
                </c:pt>
                <c:pt idx="28">
                  <c:v>-9.9999999999999978E-2</c:v>
                </c:pt>
                <c:pt idx="29">
                  <c:v>3.3333333333333368E-2</c:v>
                </c:pt>
              </c:numCache>
            </c:numRef>
          </c:val>
          <c:smooth val="0"/>
        </c:ser>
        <c:ser>
          <c:idx val="1"/>
          <c:order val="1"/>
          <c:tx>
            <c:v>Средняя линия</c:v>
          </c:tx>
          <c:spPr>
            <a:ln w="1905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val>
            <c:numRef>
              <c:f>ККШ!$S$20:$S$49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Предел предупреждения нижний</c:v>
          </c:tx>
          <c:spPr>
            <a:ln w="3175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val>
            <c:numRef>
              <c:f>ККШ!$T$20:$T$49</c:f>
              <c:numCache>
                <c:formatCode>General</c:formatCode>
                <c:ptCount val="30"/>
                <c:pt idx="0">
                  <c:v>-0.27</c:v>
                </c:pt>
                <c:pt idx="1">
                  <c:v>-0.27</c:v>
                </c:pt>
                <c:pt idx="2">
                  <c:v>-0.27</c:v>
                </c:pt>
                <c:pt idx="3">
                  <c:v>-0.27</c:v>
                </c:pt>
                <c:pt idx="4">
                  <c:v>-0.27</c:v>
                </c:pt>
                <c:pt idx="5">
                  <c:v>-0.27</c:v>
                </c:pt>
                <c:pt idx="6">
                  <c:v>-0.27</c:v>
                </c:pt>
                <c:pt idx="7">
                  <c:v>-0.27</c:v>
                </c:pt>
                <c:pt idx="8">
                  <c:v>-0.27</c:v>
                </c:pt>
                <c:pt idx="9">
                  <c:v>-0.27</c:v>
                </c:pt>
                <c:pt idx="10">
                  <c:v>-0.27</c:v>
                </c:pt>
                <c:pt idx="11">
                  <c:v>-0.27</c:v>
                </c:pt>
                <c:pt idx="12">
                  <c:v>-0.27</c:v>
                </c:pt>
                <c:pt idx="13">
                  <c:v>-0.27</c:v>
                </c:pt>
                <c:pt idx="14">
                  <c:v>-0.27</c:v>
                </c:pt>
                <c:pt idx="15">
                  <c:v>-0.27</c:v>
                </c:pt>
                <c:pt idx="16">
                  <c:v>-0.27</c:v>
                </c:pt>
                <c:pt idx="17">
                  <c:v>-0.27</c:v>
                </c:pt>
                <c:pt idx="18">
                  <c:v>-0.27</c:v>
                </c:pt>
                <c:pt idx="19">
                  <c:v>-0.27</c:v>
                </c:pt>
                <c:pt idx="20">
                  <c:v>-0.27</c:v>
                </c:pt>
                <c:pt idx="21">
                  <c:v>-0.27</c:v>
                </c:pt>
                <c:pt idx="22">
                  <c:v>-0.27</c:v>
                </c:pt>
                <c:pt idx="23">
                  <c:v>-0.27</c:v>
                </c:pt>
                <c:pt idx="24">
                  <c:v>-0.27</c:v>
                </c:pt>
                <c:pt idx="25">
                  <c:v>-0.27</c:v>
                </c:pt>
                <c:pt idx="26">
                  <c:v>-0.27</c:v>
                </c:pt>
                <c:pt idx="27">
                  <c:v>-0.27</c:v>
                </c:pt>
                <c:pt idx="28">
                  <c:v>-0.27</c:v>
                </c:pt>
                <c:pt idx="29">
                  <c:v>-0.27</c:v>
                </c:pt>
              </c:numCache>
            </c:numRef>
          </c:val>
          <c:smooth val="0"/>
        </c:ser>
        <c:ser>
          <c:idx val="3"/>
          <c:order val="3"/>
          <c:tx>
            <c:v>Предел действия нижний</c:v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ККШ!$V$20:$V$49</c:f>
              <c:numCache>
                <c:formatCode>General</c:formatCode>
                <c:ptCount val="30"/>
                <c:pt idx="0">
                  <c:v>-0.41</c:v>
                </c:pt>
                <c:pt idx="1">
                  <c:v>-0.41</c:v>
                </c:pt>
                <c:pt idx="2">
                  <c:v>-0.41</c:v>
                </c:pt>
                <c:pt idx="3">
                  <c:v>-0.41</c:v>
                </c:pt>
                <c:pt idx="4">
                  <c:v>-0.41</c:v>
                </c:pt>
                <c:pt idx="5">
                  <c:v>-0.41</c:v>
                </c:pt>
                <c:pt idx="6">
                  <c:v>-0.41</c:v>
                </c:pt>
                <c:pt idx="7">
                  <c:v>-0.41</c:v>
                </c:pt>
                <c:pt idx="8">
                  <c:v>-0.41</c:v>
                </c:pt>
                <c:pt idx="9">
                  <c:v>-0.41</c:v>
                </c:pt>
                <c:pt idx="10">
                  <c:v>-0.41</c:v>
                </c:pt>
                <c:pt idx="11">
                  <c:v>-0.41</c:v>
                </c:pt>
                <c:pt idx="12">
                  <c:v>-0.41</c:v>
                </c:pt>
                <c:pt idx="13">
                  <c:v>-0.41</c:v>
                </c:pt>
                <c:pt idx="14">
                  <c:v>-0.41</c:v>
                </c:pt>
                <c:pt idx="15">
                  <c:v>-0.41</c:v>
                </c:pt>
                <c:pt idx="16">
                  <c:v>-0.41</c:v>
                </c:pt>
                <c:pt idx="17">
                  <c:v>-0.41</c:v>
                </c:pt>
                <c:pt idx="18">
                  <c:v>-0.41</c:v>
                </c:pt>
                <c:pt idx="19">
                  <c:v>-0.41</c:v>
                </c:pt>
                <c:pt idx="20">
                  <c:v>-0.41</c:v>
                </c:pt>
                <c:pt idx="21">
                  <c:v>-0.41</c:v>
                </c:pt>
                <c:pt idx="22">
                  <c:v>-0.41</c:v>
                </c:pt>
                <c:pt idx="23">
                  <c:v>-0.41</c:v>
                </c:pt>
                <c:pt idx="24">
                  <c:v>-0.41</c:v>
                </c:pt>
                <c:pt idx="25">
                  <c:v>-0.41</c:v>
                </c:pt>
                <c:pt idx="26">
                  <c:v>-0.41</c:v>
                </c:pt>
                <c:pt idx="27">
                  <c:v>-0.41</c:v>
                </c:pt>
                <c:pt idx="28">
                  <c:v>-0.41</c:v>
                </c:pt>
                <c:pt idx="29">
                  <c:v>-0.41</c:v>
                </c:pt>
              </c:numCache>
            </c:numRef>
          </c:val>
          <c:smooth val="0"/>
        </c:ser>
        <c:ser>
          <c:idx val="4"/>
          <c:order val="4"/>
          <c:tx>
            <c:v>Предел предупреждения верхний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val>
            <c:numRef>
              <c:f>ККШ!$U$20:$U$49</c:f>
              <c:numCache>
                <c:formatCode>General</c:formatCode>
                <c:ptCount val="30"/>
                <c:pt idx="0">
                  <c:v>0.27</c:v>
                </c:pt>
                <c:pt idx="1">
                  <c:v>0.27</c:v>
                </c:pt>
                <c:pt idx="2">
                  <c:v>0.27</c:v>
                </c:pt>
                <c:pt idx="3">
                  <c:v>0.27</c:v>
                </c:pt>
                <c:pt idx="4">
                  <c:v>0.27</c:v>
                </c:pt>
                <c:pt idx="5">
                  <c:v>0.27</c:v>
                </c:pt>
                <c:pt idx="6">
                  <c:v>0.27</c:v>
                </c:pt>
                <c:pt idx="7">
                  <c:v>0.27</c:v>
                </c:pt>
                <c:pt idx="8">
                  <c:v>0.27</c:v>
                </c:pt>
                <c:pt idx="9">
                  <c:v>0.27</c:v>
                </c:pt>
                <c:pt idx="10">
                  <c:v>0.27</c:v>
                </c:pt>
                <c:pt idx="11">
                  <c:v>0.27</c:v>
                </c:pt>
                <c:pt idx="12">
                  <c:v>0.27</c:v>
                </c:pt>
                <c:pt idx="13">
                  <c:v>0.27</c:v>
                </c:pt>
                <c:pt idx="14">
                  <c:v>0.27</c:v>
                </c:pt>
                <c:pt idx="15">
                  <c:v>0.27</c:v>
                </c:pt>
                <c:pt idx="16">
                  <c:v>0.27</c:v>
                </c:pt>
                <c:pt idx="17">
                  <c:v>0.27</c:v>
                </c:pt>
                <c:pt idx="18">
                  <c:v>0.27</c:v>
                </c:pt>
                <c:pt idx="19">
                  <c:v>0.27</c:v>
                </c:pt>
                <c:pt idx="20">
                  <c:v>0.27</c:v>
                </c:pt>
                <c:pt idx="21">
                  <c:v>0.27</c:v>
                </c:pt>
                <c:pt idx="22">
                  <c:v>0.27</c:v>
                </c:pt>
                <c:pt idx="23">
                  <c:v>0.27</c:v>
                </c:pt>
                <c:pt idx="24">
                  <c:v>0.27</c:v>
                </c:pt>
                <c:pt idx="25">
                  <c:v>0.27</c:v>
                </c:pt>
                <c:pt idx="26">
                  <c:v>0.27</c:v>
                </c:pt>
                <c:pt idx="27">
                  <c:v>0.27</c:v>
                </c:pt>
                <c:pt idx="28">
                  <c:v>0.27</c:v>
                </c:pt>
                <c:pt idx="29">
                  <c:v>0.27</c:v>
                </c:pt>
              </c:numCache>
            </c:numRef>
          </c:val>
          <c:smooth val="0"/>
        </c:ser>
        <c:ser>
          <c:idx val="5"/>
          <c:order val="5"/>
          <c:tx>
            <c:v>Предел действия верхний</c:v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ККШ!$W$20:$W$49</c:f>
              <c:numCache>
                <c:formatCode>General</c:formatCode>
                <c:ptCount val="30"/>
                <c:pt idx="0">
                  <c:v>0.41</c:v>
                </c:pt>
                <c:pt idx="1">
                  <c:v>0.41</c:v>
                </c:pt>
                <c:pt idx="2">
                  <c:v>0.41</c:v>
                </c:pt>
                <c:pt idx="3">
                  <c:v>0.41</c:v>
                </c:pt>
                <c:pt idx="4">
                  <c:v>0.41</c:v>
                </c:pt>
                <c:pt idx="5">
                  <c:v>0.41</c:v>
                </c:pt>
                <c:pt idx="6">
                  <c:v>0.41</c:v>
                </c:pt>
                <c:pt idx="7">
                  <c:v>0.41</c:v>
                </c:pt>
                <c:pt idx="8">
                  <c:v>0.41</c:v>
                </c:pt>
                <c:pt idx="9">
                  <c:v>0.41</c:v>
                </c:pt>
                <c:pt idx="10">
                  <c:v>0.41</c:v>
                </c:pt>
                <c:pt idx="11">
                  <c:v>0.41</c:v>
                </c:pt>
                <c:pt idx="12">
                  <c:v>0.41</c:v>
                </c:pt>
                <c:pt idx="13">
                  <c:v>0.41</c:v>
                </c:pt>
                <c:pt idx="14">
                  <c:v>0.41</c:v>
                </c:pt>
                <c:pt idx="15">
                  <c:v>0.41</c:v>
                </c:pt>
                <c:pt idx="16">
                  <c:v>0.41</c:v>
                </c:pt>
                <c:pt idx="17">
                  <c:v>0.41</c:v>
                </c:pt>
                <c:pt idx="18">
                  <c:v>0.41</c:v>
                </c:pt>
                <c:pt idx="19">
                  <c:v>0.41</c:v>
                </c:pt>
                <c:pt idx="20">
                  <c:v>0.41</c:v>
                </c:pt>
                <c:pt idx="21">
                  <c:v>0.41</c:v>
                </c:pt>
                <c:pt idx="22">
                  <c:v>0.41</c:v>
                </c:pt>
                <c:pt idx="23">
                  <c:v>0.41</c:v>
                </c:pt>
                <c:pt idx="24">
                  <c:v>0.41</c:v>
                </c:pt>
                <c:pt idx="25">
                  <c:v>0.41</c:v>
                </c:pt>
                <c:pt idx="26">
                  <c:v>0.41</c:v>
                </c:pt>
                <c:pt idx="27">
                  <c:v>0.41</c:v>
                </c:pt>
                <c:pt idx="28">
                  <c:v>0.41</c:v>
                </c:pt>
                <c:pt idx="29">
                  <c:v>0.41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160000"/>
        <c:axId val="136161536"/>
      </c:lineChart>
      <c:catAx>
        <c:axId val="136160000"/>
        <c:scaling>
          <c:orientation val="minMax"/>
        </c:scaling>
        <c:delete val="0"/>
        <c:axPos val="b"/>
        <c:majorTickMark val="out"/>
        <c:minorTickMark val="none"/>
        <c:tickLblPos val="nextTo"/>
        <c:crossAx val="136161536"/>
        <c:crosses val="autoZero"/>
        <c:auto val="1"/>
        <c:lblAlgn val="ctr"/>
        <c:lblOffset val="100"/>
        <c:noMultiLvlLbl val="0"/>
      </c:catAx>
      <c:valAx>
        <c:axId val="136161536"/>
        <c:scaling>
          <c:orientation val="minMax"/>
          <c:max val="0.5"/>
          <c:min val="-0.5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numFmt formatCode="#,##0.000" sourceLinked="0"/>
        <c:majorTickMark val="out"/>
        <c:minorTickMark val="none"/>
        <c:tickLblPos val="nextTo"/>
        <c:crossAx val="136160000"/>
        <c:crosses val="autoZero"/>
        <c:crossBetween val="midCat"/>
        <c:majorUnit val="0.1"/>
        <c:minorUnit val="5.000000000000001E-2"/>
      </c:valAx>
      <c:spPr>
        <a:solidFill>
          <a:schemeClr val="bg1">
            <a:lumMod val="75000"/>
          </a:schemeClr>
        </a:solidFill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 horizont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Контроль внутрилабораторной прецизионности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1197342254673742E-2"/>
          <c:y val="3.75116652085156E-2"/>
          <c:w val="0.90418768736298916"/>
          <c:h val="0.8326195683872849"/>
        </c:manualLayout>
      </c:layout>
      <c:lineChart>
        <c:grouping val="standard"/>
        <c:varyColors val="0"/>
        <c:ser>
          <c:idx val="0"/>
          <c:order val="0"/>
          <c:tx>
            <c:v>Внутрилабораторная прецизионность</c:v>
          </c:tx>
          <c:marker>
            <c:symbol val="diamond"/>
            <c:size val="8"/>
            <c:spPr>
              <a:solidFill>
                <a:srgbClr val="7030A0"/>
              </a:solidFill>
            </c:spPr>
          </c:marker>
          <c:val>
            <c:numRef>
              <c:f>ККШ!$G$20:$G$49</c:f>
              <c:numCache>
                <c:formatCode>General</c:formatCode>
                <c:ptCount val="30"/>
                <c:pt idx="0">
                  <c:v>0</c:v>
                </c:pt>
                <c:pt idx="1">
                  <c:v>8.4690553745928279E-2</c:v>
                </c:pt>
                <c:pt idx="2">
                  <c:v>0.10932475884244351</c:v>
                </c:pt>
                <c:pt idx="3">
                  <c:v>3.0030030030030061E-2</c:v>
                </c:pt>
                <c:pt idx="4">
                  <c:v>5.8997050147494316E-3</c:v>
                </c:pt>
                <c:pt idx="5">
                  <c:v>0.14511041009463735</c:v>
                </c:pt>
                <c:pt idx="6">
                  <c:v>0.20183486238532125</c:v>
                </c:pt>
                <c:pt idx="7">
                  <c:v>0.28571428571428575</c:v>
                </c:pt>
                <c:pt idx="8">
                  <c:v>4.5454545454545574E-2</c:v>
                </c:pt>
                <c:pt idx="9">
                  <c:v>0.24836601307189546</c:v>
                </c:pt>
                <c:pt idx="10">
                  <c:v>0.25596529284164871</c:v>
                </c:pt>
                <c:pt idx="11">
                  <c:v>0.39999999999999991</c:v>
                </c:pt>
                <c:pt idx="12">
                  <c:v>0.26744186046511625</c:v>
                </c:pt>
                <c:pt idx="13">
                  <c:v>8.9743589743589869E-2</c:v>
                </c:pt>
                <c:pt idx="14">
                  <c:v>1.2345679012345819E-2</c:v>
                </c:pt>
                <c:pt idx="15">
                  <c:v>1.2499999999999924E-2</c:v>
                </c:pt>
                <c:pt idx="16">
                  <c:v>1.9047619047619153E-2</c:v>
                </c:pt>
                <c:pt idx="17">
                  <c:v>1.2903225806451535E-2</c:v>
                </c:pt>
                <c:pt idx="18">
                  <c:v>2.6315789473684278E-2</c:v>
                </c:pt>
                <c:pt idx="19">
                  <c:v>3.3898305084745797E-2</c:v>
                </c:pt>
                <c:pt idx="20">
                  <c:v>0.14696485623003197</c:v>
                </c:pt>
                <c:pt idx="21">
                  <c:v>0.21782178217821777</c:v>
                </c:pt>
                <c:pt idx="22">
                  <c:v>0.15699658703071684</c:v>
                </c:pt>
                <c:pt idx="23">
                  <c:v>0.18307426597582058</c:v>
                </c:pt>
                <c:pt idx="24">
                  <c:v>0.12477718360071313</c:v>
                </c:pt>
                <c:pt idx="25">
                  <c:v>0.11987381703470044</c:v>
                </c:pt>
                <c:pt idx="26">
                  <c:v>0.18892508143322495</c:v>
                </c:pt>
                <c:pt idx="27">
                  <c:v>6.2717770034843315E-2</c:v>
                </c:pt>
                <c:pt idx="28">
                  <c:v>9.1872791519434685E-2</c:v>
                </c:pt>
                <c:pt idx="29">
                  <c:v>0.13793103448275865</c:v>
                </c:pt>
              </c:numCache>
            </c:numRef>
          </c:val>
          <c:smooth val="0"/>
        </c:ser>
        <c:ser>
          <c:idx val="1"/>
          <c:order val="1"/>
          <c:tx>
            <c:v>Средняя линия</c:v>
          </c:tx>
          <c:spPr>
            <a:ln w="1905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val>
            <c:numRef>
              <c:f>ККШ!$P$20:$P$49</c:f>
              <c:numCache>
                <c:formatCode>General</c:formatCode>
                <c:ptCount val="30"/>
                <c:pt idx="0">
                  <c:v>0.15</c:v>
                </c:pt>
                <c:pt idx="1">
                  <c:v>0.15</c:v>
                </c:pt>
                <c:pt idx="2">
                  <c:v>0.15</c:v>
                </c:pt>
                <c:pt idx="3">
                  <c:v>0.15</c:v>
                </c:pt>
                <c:pt idx="4">
                  <c:v>0.15</c:v>
                </c:pt>
                <c:pt idx="5">
                  <c:v>0.15</c:v>
                </c:pt>
                <c:pt idx="6">
                  <c:v>0.15</c:v>
                </c:pt>
                <c:pt idx="7">
                  <c:v>0.15</c:v>
                </c:pt>
                <c:pt idx="8">
                  <c:v>0.15</c:v>
                </c:pt>
                <c:pt idx="9">
                  <c:v>0.15</c:v>
                </c:pt>
                <c:pt idx="10">
                  <c:v>0.15</c:v>
                </c:pt>
                <c:pt idx="11">
                  <c:v>0.15</c:v>
                </c:pt>
                <c:pt idx="12">
                  <c:v>0.15</c:v>
                </c:pt>
                <c:pt idx="13">
                  <c:v>0.15</c:v>
                </c:pt>
                <c:pt idx="14">
                  <c:v>0.15</c:v>
                </c:pt>
                <c:pt idx="15">
                  <c:v>0.15</c:v>
                </c:pt>
                <c:pt idx="16">
                  <c:v>0.15</c:v>
                </c:pt>
                <c:pt idx="17">
                  <c:v>0.15</c:v>
                </c:pt>
                <c:pt idx="18">
                  <c:v>0.15</c:v>
                </c:pt>
                <c:pt idx="19">
                  <c:v>0.15</c:v>
                </c:pt>
                <c:pt idx="20">
                  <c:v>0.15</c:v>
                </c:pt>
                <c:pt idx="21">
                  <c:v>0.15</c:v>
                </c:pt>
                <c:pt idx="22">
                  <c:v>0.15</c:v>
                </c:pt>
                <c:pt idx="23">
                  <c:v>0.15</c:v>
                </c:pt>
                <c:pt idx="24">
                  <c:v>0.15</c:v>
                </c:pt>
                <c:pt idx="25">
                  <c:v>0.15</c:v>
                </c:pt>
                <c:pt idx="26">
                  <c:v>0.15</c:v>
                </c:pt>
                <c:pt idx="27">
                  <c:v>0.15</c:v>
                </c:pt>
                <c:pt idx="28">
                  <c:v>0.15</c:v>
                </c:pt>
                <c:pt idx="29">
                  <c:v>0.15</c:v>
                </c:pt>
              </c:numCache>
            </c:numRef>
          </c:val>
          <c:smooth val="0"/>
        </c:ser>
        <c:ser>
          <c:idx val="2"/>
          <c:order val="2"/>
          <c:tx>
            <c:v>Предел предупреждения</c:v>
          </c:tx>
          <c:spPr>
            <a:ln w="3175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val>
            <c:numRef>
              <c:f>ККШ!$Q$20:$Q$49</c:f>
              <c:numCache>
                <c:formatCode>General</c:formatCode>
                <c:ptCount val="30"/>
                <c:pt idx="0">
                  <c:v>0.37</c:v>
                </c:pt>
                <c:pt idx="1">
                  <c:v>0.37</c:v>
                </c:pt>
                <c:pt idx="2">
                  <c:v>0.37</c:v>
                </c:pt>
                <c:pt idx="3">
                  <c:v>0.37</c:v>
                </c:pt>
                <c:pt idx="4">
                  <c:v>0.37</c:v>
                </c:pt>
                <c:pt idx="5">
                  <c:v>0.37</c:v>
                </c:pt>
                <c:pt idx="6">
                  <c:v>0.37</c:v>
                </c:pt>
                <c:pt idx="7">
                  <c:v>0.37</c:v>
                </c:pt>
                <c:pt idx="8">
                  <c:v>0.37</c:v>
                </c:pt>
                <c:pt idx="9">
                  <c:v>0.37</c:v>
                </c:pt>
                <c:pt idx="10">
                  <c:v>0.37</c:v>
                </c:pt>
                <c:pt idx="11">
                  <c:v>0.37</c:v>
                </c:pt>
                <c:pt idx="12">
                  <c:v>0.37</c:v>
                </c:pt>
                <c:pt idx="13">
                  <c:v>0.37</c:v>
                </c:pt>
                <c:pt idx="14">
                  <c:v>0.37</c:v>
                </c:pt>
                <c:pt idx="15">
                  <c:v>0.37</c:v>
                </c:pt>
                <c:pt idx="16">
                  <c:v>0.37</c:v>
                </c:pt>
                <c:pt idx="17">
                  <c:v>0.37</c:v>
                </c:pt>
                <c:pt idx="18">
                  <c:v>0.37</c:v>
                </c:pt>
                <c:pt idx="19">
                  <c:v>0.37</c:v>
                </c:pt>
                <c:pt idx="20">
                  <c:v>0.37</c:v>
                </c:pt>
                <c:pt idx="21">
                  <c:v>0.37</c:v>
                </c:pt>
                <c:pt idx="22">
                  <c:v>0.37</c:v>
                </c:pt>
                <c:pt idx="23">
                  <c:v>0.37</c:v>
                </c:pt>
                <c:pt idx="24">
                  <c:v>0.37</c:v>
                </c:pt>
                <c:pt idx="25">
                  <c:v>0.37</c:v>
                </c:pt>
                <c:pt idx="26">
                  <c:v>0.37</c:v>
                </c:pt>
                <c:pt idx="27">
                  <c:v>0.37</c:v>
                </c:pt>
                <c:pt idx="28">
                  <c:v>0.37</c:v>
                </c:pt>
                <c:pt idx="29">
                  <c:v>0.37</c:v>
                </c:pt>
              </c:numCache>
            </c:numRef>
          </c:val>
          <c:smooth val="0"/>
        </c:ser>
        <c:ser>
          <c:idx val="3"/>
          <c:order val="3"/>
          <c:tx>
            <c:v>Предел действия</c:v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ККШ!$R$20:$R$49</c:f>
              <c:numCache>
                <c:formatCode>General</c:formatCode>
                <c:ptCount val="30"/>
                <c:pt idx="0">
                  <c:v>0.48</c:v>
                </c:pt>
                <c:pt idx="1">
                  <c:v>0.48</c:v>
                </c:pt>
                <c:pt idx="2">
                  <c:v>0.48</c:v>
                </c:pt>
                <c:pt idx="3">
                  <c:v>0.48</c:v>
                </c:pt>
                <c:pt idx="4">
                  <c:v>0.48</c:v>
                </c:pt>
                <c:pt idx="5">
                  <c:v>0.48</c:v>
                </c:pt>
                <c:pt idx="6">
                  <c:v>0.48</c:v>
                </c:pt>
                <c:pt idx="7">
                  <c:v>0.48</c:v>
                </c:pt>
                <c:pt idx="8">
                  <c:v>0.48</c:v>
                </c:pt>
                <c:pt idx="9">
                  <c:v>0.48</c:v>
                </c:pt>
                <c:pt idx="10">
                  <c:v>0.48</c:v>
                </c:pt>
                <c:pt idx="11">
                  <c:v>0.48</c:v>
                </c:pt>
                <c:pt idx="12">
                  <c:v>0.48</c:v>
                </c:pt>
                <c:pt idx="13">
                  <c:v>0.48</c:v>
                </c:pt>
                <c:pt idx="14">
                  <c:v>0.48</c:v>
                </c:pt>
                <c:pt idx="15">
                  <c:v>0.48</c:v>
                </c:pt>
                <c:pt idx="16">
                  <c:v>0.48</c:v>
                </c:pt>
                <c:pt idx="17">
                  <c:v>0.48</c:v>
                </c:pt>
                <c:pt idx="18">
                  <c:v>0.48</c:v>
                </c:pt>
                <c:pt idx="19">
                  <c:v>0.48</c:v>
                </c:pt>
                <c:pt idx="20">
                  <c:v>0.48</c:v>
                </c:pt>
                <c:pt idx="21">
                  <c:v>0.48</c:v>
                </c:pt>
                <c:pt idx="22">
                  <c:v>0.48</c:v>
                </c:pt>
                <c:pt idx="23">
                  <c:v>0.48</c:v>
                </c:pt>
                <c:pt idx="24">
                  <c:v>0.48</c:v>
                </c:pt>
                <c:pt idx="25">
                  <c:v>0.48</c:v>
                </c:pt>
                <c:pt idx="26">
                  <c:v>0.48</c:v>
                </c:pt>
                <c:pt idx="27">
                  <c:v>0.48</c:v>
                </c:pt>
                <c:pt idx="28">
                  <c:v>0.48</c:v>
                </c:pt>
                <c:pt idx="29">
                  <c:v>0.48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344576"/>
        <c:axId val="142346112"/>
      </c:lineChart>
      <c:catAx>
        <c:axId val="142344576"/>
        <c:scaling>
          <c:orientation val="minMax"/>
        </c:scaling>
        <c:delete val="0"/>
        <c:axPos val="b"/>
        <c:majorTickMark val="out"/>
        <c:minorTickMark val="none"/>
        <c:tickLblPos val="nextTo"/>
        <c:crossAx val="142346112"/>
        <c:crosses val="autoZero"/>
        <c:auto val="1"/>
        <c:lblAlgn val="ctr"/>
        <c:lblOffset val="100"/>
        <c:noMultiLvlLbl val="0"/>
      </c:catAx>
      <c:valAx>
        <c:axId val="142346112"/>
        <c:scaling>
          <c:orientation val="minMax"/>
          <c:max val="0.55000000000000004"/>
          <c:min val="0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numFmt formatCode="#,##0.000" sourceLinked="0"/>
        <c:majorTickMark val="out"/>
        <c:minorTickMark val="none"/>
        <c:tickLblPos val="nextTo"/>
        <c:crossAx val="142344576"/>
        <c:crosses val="autoZero"/>
        <c:crossBetween val="midCat"/>
        <c:majorUnit val="0.1"/>
        <c:minorUnit val="5.000000000000001E-2"/>
      </c:valAx>
      <c:spPr>
        <a:solidFill>
          <a:schemeClr val="bg1">
            <a:lumMod val="75000"/>
          </a:schemeClr>
        </a:solidFill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 horizont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Контроль повторяемости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1197342254673742E-2"/>
          <c:y val="3.75116652085156E-2"/>
          <c:w val="0.90418768736298916"/>
          <c:h val="0.8326195683872849"/>
        </c:manualLayout>
      </c:layout>
      <c:lineChart>
        <c:grouping val="standard"/>
        <c:varyColors val="0"/>
        <c:ser>
          <c:idx val="0"/>
          <c:order val="0"/>
          <c:tx>
            <c:v>Повторяемость</c:v>
          </c:tx>
          <c:marker>
            <c:symbol val="diamond"/>
            <c:size val="8"/>
            <c:spPr>
              <a:solidFill>
                <a:srgbClr val="7030A0"/>
              </a:solidFill>
            </c:spPr>
          </c:marker>
          <c:val>
            <c:numRef>
              <c:f>ККШ!$F$20:$F$49</c:f>
              <c:numCache>
                <c:formatCode>General</c:formatCode>
                <c:ptCount val="30"/>
                <c:pt idx="0">
                  <c:v>0.12500000000000011</c:v>
                </c:pt>
                <c:pt idx="1">
                  <c:v>0.14965986394557837</c:v>
                </c:pt>
                <c:pt idx="2">
                  <c:v>2.4390243902439091E-2</c:v>
                </c:pt>
                <c:pt idx="3">
                  <c:v>0.1183431952662721</c:v>
                </c:pt>
                <c:pt idx="4">
                  <c:v>1.1764705882353073E-2</c:v>
                </c:pt>
                <c:pt idx="5">
                  <c:v>4.0816326530612235E-2</c:v>
                </c:pt>
                <c:pt idx="6">
                  <c:v>5.5555555555555407E-2</c:v>
                </c:pt>
                <c:pt idx="7">
                  <c:v>0.19259259259259257</c:v>
                </c:pt>
                <c:pt idx="8">
                  <c:v>0.1395348837209302</c:v>
                </c:pt>
                <c:pt idx="9">
                  <c:v>0.48756218905472642</c:v>
                </c:pt>
                <c:pt idx="10">
                  <c:v>7.6923076923076858E-2</c:v>
                </c:pt>
                <c:pt idx="11">
                  <c:v>0.15384615384615399</c:v>
                </c:pt>
                <c:pt idx="12">
                  <c:v>2.6845637583892686E-2</c:v>
                </c:pt>
                <c:pt idx="13">
                  <c:v>0.15950920245398781</c:v>
                </c:pt>
                <c:pt idx="14">
                  <c:v>7.4534161490683218E-2</c:v>
                </c:pt>
                <c:pt idx="15">
                  <c:v>0</c:v>
                </c:pt>
                <c:pt idx="16">
                  <c:v>7.69230769230769E-2</c:v>
                </c:pt>
                <c:pt idx="17">
                  <c:v>0.31168831168831168</c:v>
                </c:pt>
                <c:pt idx="18">
                  <c:v>2.6666666666666623E-2</c:v>
                </c:pt>
                <c:pt idx="19">
                  <c:v>0.30344827586206896</c:v>
                </c:pt>
                <c:pt idx="20">
                  <c:v>1.1904761904761833E-2</c:v>
                </c:pt>
                <c:pt idx="21">
                  <c:v>0.22222222222222215</c:v>
                </c:pt>
                <c:pt idx="22">
                  <c:v>2.5316455696202597E-2</c:v>
                </c:pt>
                <c:pt idx="23">
                  <c:v>2.2813688212927754E-2</c:v>
                </c:pt>
                <c:pt idx="24">
                  <c:v>2.6845637583892686E-2</c:v>
                </c:pt>
                <c:pt idx="25">
                  <c:v>9.5238095238095274E-2</c:v>
                </c:pt>
                <c:pt idx="26">
                  <c:v>0.11510791366906468</c:v>
                </c:pt>
                <c:pt idx="27">
                  <c:v>4.0540540540540529E-2</c:v>
                </c:pt>
                <c:pt idx="28">
                  <c:v>7.4074074074074139E-2</c:v>
                </c:pt>
                <c:pt idx="29">
                  <c:v>1.2903225806451535E-2</c:v>
                </c:pt>
              </c:numCache>
            </c:numRef>
          </c:val>
          <c:smooth val="0"/>
        </c:ser>
        <c:ser>
          <c:idx val="1"/>
          <c:order val="1"/>
          <c:tx>
            <c:v>Средняя линия</c:v>
          </c:tx>
          <c:spPr>
            <a:ln w="1905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val>
            <c:numRef>
              <c:f>ККШ!$M$20:$M$49</c:f>
              <c:numCache>
                <c:formatCode>General</c:formatCode>
                <c:ptCount val="30"/>
                <c:pt idx="0">
                  <c:v>0.15</c:v>
                </c:pt>
                <c:pt idx="1">
                  <c:v>0.15</c:v>
                </c:pt>
                <c:pt idx="2">
                  <c:v>0.15</c:v>
                </c:pt>
                <c:pt idx="3">
                  <c:v>0.15</c:v>
                </c:pt>
                <c:pt idx="4">
                  <c:v>0.15</c:v>
                </c:pt>
                <c:pt idx="5">
                  <c:v>0.15</c:v>
                </c:pt>
                <c:pt idx="6">
                  <c:v>0.15</c:v>
                </c:pt>
                <c:pt idx="7">
                  <c:v>0.15</c:v>
                </c:pt>
                <c:pt idx="8">
                  <c:v>0.15</c:v>
                </c:pt>
                <c:pt idx="9">
                  <c:v>0.15</c:v>
                </c:pt>
                <c:pt idx="10">
                  <c:v>0.15</c:v>
                </c:pt>
                <c:pt idx="11">
                  <c:v>0.15</c:v>
                </c:pt>
                <c:pt idx="12">
                  <c:v>0.15</c:v>
                </c:pt>
                <c:pt idx="13">
                  <c:v>0.15</c:v>
                </c:pt>
                <c:pt idx="14">
                  <c:v>0.15</c:v>
                </c:pt>
                <c:pt idx="15">
                  <c:v>0.15</c:v>
                </c:pt>
                <c:pt idx="16">
                  <c:v>0.15</c:v>
                </c:pt>
                <c:pt idx="17">
                  <c:v>0.15</c:v>
                </c:pt>
                <c:pt idx="18">
                  <c:v>0.15</c:v>
                </c:pt>
                <c:pt idx="19">
                  <c:v>0.15</c:v>
                </c:pt>
                <c:pt idx="20">
                  <c:v>0.15</c:v>
                </c:pt>
                <c:pt idx="21">
                  <c:v>0.15</c:v>
                </c:pt>
                <c:pt idx="22">
                  <c:v>0.15</c:v>
                </c:pt>
                <c:pt idx="23">
                  <c:v>0.15</c:v>
                </c:pt>
                <c:pt idx="24">
                  <c:v>0.15</c:v>
                </c:pt>
                <c:pt idx="25">
                  <c:v>0.15</c:v>
                </c:pt>
                <c:pt idx="26">
                  <c:v>0.15</c:v>
                </c:pt>
                <c:pt idx="27">
                  <c:v>0.15</c:v>
                </c:pt>
                <c:pt idx="28">
                  <c:v>0.15</c:v>
                </c:pt>
                <c:pt idx="29">
                  <c:v>0.15</c:v>
                </c:pt>
              </c:numCache>
            </c:numRef>
          </c:val>
          <c:smooth val="0"/>
        </c:ser>
        <c:ser>
          <c:idx val="2"/>
          <c:order val="2"/>
          <c:tx>
            <c:v>Предел предупреждения</c:v>
          </c:tx>
          <c:spPr>
            <a:ln w="3175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val>
            <c:numRef>
              <c:f>ККШ!$N$20:$N$49</c:f>
              <c:numCache>
                <c:formatCode>General</c:formatCode>
                <c:ptCount val="30"/>
                <c:pt idx="0">
                  <c:v>0.37</c:v>
                </c:pt>
                <c:pt idx="1">
                  <c:v>0.37</c:v>
                </c:pt>
                <c:pt idx="2">
                  <c:v>0.37</c:v>
                </c:pt>
                <c:pt idx="3">
                  <c:v>0.37</c:v>
                </c:pt>
                <c:pt idx="4">
                  <c:v>0.37</c:v>
                </c:pt>
                <c:pt idx="5">
                  <c:v>0.37</c:v>
                </c:pt>
                <c:pt idx="6">
                  <c:v>0.37</c:v>
                </c:pt>
                <c:pt idx="7">
                  <c:v>0.37</c:v>
                </c:pt>
                <c:pt idx="8">
                  <c:v>0.37</c:v>
                </c:pt>
                <c:pt idx="9">
                  <c:v>0.37</c:v>
                </c:pt>
                <c:pt idx="10">
                  <c:v>0.37</c:v>
                </c:pt>
                <c:pt idx="11">
                  <c:v>0.37</c:v>
                </c:pt>
                <c:pt idx="12">
                  <c:v>0.37</c:v>
                </c:pt>
                <c:pt idx="13">
                  <c:v>0.37</c:v>
                </c:pt>
                <c:pt idx="14">
                  <c:v>0.37</c:v>
                </c:pt>
                <c:pt idx="15">
                  <c:v>0.37</c:v>
                </c:pt>
                <c:pt idx="16">
                  <c:v>0.37</c:v>
                </c:pt>
                <c:pt idx="17">
                  <c:v>0.37</c:v>
                </c:pt>
                <c:pt idx="18">
                  <c:v>0.37</c:v>
                </c:pt>
                <c:pt idx="19">
                  <c:v>0.37</c:v>
                </c:pt>
                <c:pt idx="20">
                  <c:v>0.37</c:v>
                </c:pt>
                <c:pt idx="21">
                  <c:v>0.37</c:v>
                </c:pt>
                <c:pt idx="22">
                  <c:v>0.37</c:v>
                </c:pt>
                <c:pt idx="23">
                  <c:v>0.37</c:v>
                </c:pt>
                <c:pt idx="24">
                  <c:v>0.37</c:v>
                </c:pt>
                <c:pt idx="25">
                  <c:v>0.37</c:v>
                </c:pt>
                <c:pt idx="26">
                  <c:v>0.37</c:v>
                </c:pt>
                <c:pt idx="27">
                  <c:v>0.37</c:v>
                </c:pt>
                <c:pt idx="28">
                  <c:v>0.37</c:v>
                </c:pt>
                <c:pt idx="29">
                  <c:v>0.37</c:v>
                </c:pt>
              </c:numCache>
            </c:numRef>
          </c:val>
          <c:smooth val="0"/>
        </c:ser>
        <c:ser>
          <c:idx val="3"/>
          <c:order val="3"/>
          <c:tx>
            <c:v>Предел действия</c:v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ККШ!$O$20:$O$49</c:f>
              <c:numCache>
                <c:formatCode>General</c:formatCode>
                <c:ptCount val="30"/>
                <c:pt idx="0">
                  <c:v>0.48</c:v>
                </c:pt>
                <c:pt idx="1">
                  <c:v>0.48</c:v>
                </c:pt>
                <c:pt idx="2">
                  <c:v>0.48</c:v>
                </c:pt>
                <c:pt idx="3">
                  <c:v>0.48</c:v>
                </c:pt>
                <c:pt idx="4">
                  <c:v>0.48</c:v>
                </c:pt>
                <c:pt idx="5">
                  <c:v>0.48</c:v>
                </c:pt>
                <c:pt idx="6">
                  <c:v>0.48</c:v>
                </c:pt>
                <c:pt idx="7">
                  <c:v>0.48</c:v>
                </c:pt>
                <c:pt idx="8">
                  <c:v>0.48</c:v>
                </c:pt>
                <c:pt idx="9">
                  <c:v>0.48</c:v>
                </c:pt>
                <c:pt idx="10">
                  <c:v>0.48</c:v>
                </c:pt>
                <c:pt idx="11">
                  <c:v>0.48</c:v>
                </c:pt>
                <c:pt idx="12">
                  <c:v>0.48</c:v>
                </c:pt>
                <c:pt idx="13">
                  <c:v>0.48</c:v>
                </c:pt>
                <c:pt idx="14">
                  <c:v>0.48</c:v>
                </c:pt>
                <c:pt idx="15">
                  <c:v>0.48</c:v>
                </c:pt>
                <c:pt idx="16">
                  <c:v>0.48</c:v>
                </c:pt>
                <c:pt idx="17">
                  <c:v>0.48</c:v>
                </c:pt>
                <c:pt idx="18">
                  <c:v>0.48</c:v>
                </c:pt>
                <c:pt idx="19">
                  <c:v>0.48</c:v>
                </c:pt>
                <c:pt idx="20">
                  <c:v>0.48</c:v>
                </c:pt>
                <c:pt idx="21">
                  <c:v>0.48</c:v>
                </c:pt>
                <c:pt idx="22">
                  <c:v>0.48</c:v>
                </c:pt>
                <c:pt idx="23">
                  <c:v>0.48</c:v>
                </c:pt>
                <c:pt idx="24">
                  <c:v>0.48</c:v>
                </c:pt>
                <c:pt idx="25">
                  <c:v>0.48</c:v>
                </c:pt>
                <c:pt idx="26">
                  <c:v>0.48</c:v>
                </c:pt>
                <c:pt idx="27">
                  <c:v>0.48</c:v>
                </c:pt>
                <c:pt idx="28">
                  <c:v>0.48</c:v>
                </c:pt>
                <c:pt idx="29">
                  <c:v>0.48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385152"/>
        <c:axId val="142386688"/>
      </c:lineChart>
      <c:catAx>
        <c:axId val="142385152"/>
        <c:scaling>
          <c:orientation val="minMax"/>
        </c:scaling>
        <c:delete val="0"/>
        <c:axPos val="b"/>
        <c:majorTickMark val="out"/>
        <c:minorTickMark val="none"/>
        <c:tickLblPos val="nextTo"/>
        <c:crossAx val="142386688"/>
        <c:crosses val="autoZero"/>
        <c:auto val="1"/>
        <c:lblAlgn val="ctr"/>
        <c:lblOffset val="100"/>
        <c:noMultiLvlLbl val="0"/>
      </c:catAx>
      <c:valAx>
        <c:axId val="142386688"/>
        <c:scaling>
          <c:orientation val="minMax"/>
          <c:max val="0.55000000000000004"/>
          <c:min val="0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numFmt formatCode="#,##0.000" sourceLinked="0"/>
        <c:majorTickMark val="out"/>
        <c:minorTickMark val="none"/>
        <c:tickLblPos val="nextTo"/>
        <c:crossAx val="142385152"/>
        <c:crosses val="autoZero"/>
        <c:crossBetween val="midCat"/>
        <c:majorUnit val="0.1"/>
        <c:minorUnit val="5.000000000000001E-2"/>
      </c:valAx>
      <c:spPr>
        <a:solidFill>
          <a:schemeClr val="bg1">
            <a:lumMod val="75000"/>
          </a:schemeClr>
        </a:solidFill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 horizontalDpi="30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chart" Target="../charts/chart3.xml"/><Relationship Id="rId7" Type="http://schemas.openxmlformats.org/officeDocument/2006/relationships/image" Target="../media/image4.png"/><Relationship Id="rId12" Type="http://schemas.openxmlformats.org/officeDocument/2006/relationships/image" Target="../media/image9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3.png"/><Relationship Id="rId11" Type="http://schemas.openxmlformats.org/officeDocument/2006/relationships/image" Target="../media/image8.png"/><Relationship Id="rId5" Type="http://schemas.openxmlformats.org/officeDocument/2006/relationships/image" Target="../media/image2.png"/><Relationship Id="rId10" Type="http://schemas.openxmlformats.org/officeDocument/2006/relationships/image" Target="../media/image7.png"/><Relationship Id="rId4" Type="http://schemas.openxmlformats.org/officeDocument/2006/relationships/image" Target="../media/image1.png"/><Relationship Id="rId9" Type="http://schemas.openxmlformats.org/officeDocument/2006/relationships/image" Target="../media/image6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273241</xdr:colOff>
      <xdr:row>51</xdr:row>
      <xdr:rowOff>145283</xdr:rowOff>
    </xdr:from>
    <xdr:to>
      <xdr:col>9</xdr:col>
      <xdr:colOff>1549247</xdr:colOff>
      <xdr:row>74</xdr:row>
      <xdr:rowOff>34428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34429</xdr:colOff>
      <xdr:row>75</xdr:row>
      <xdr:rowOff>160663</xdr:rowOff>
    </xdr:from>
    <xdr:to>
      <xdr:col>7</xdr:col>
      <xdr:colOff>677104</xdr:colOff>
      <xdr:row>94</xdr:row>
      <xdr:rowOff>57380</xdr:rowOff>
    </xdr:to>
    <xdr:graphicFrame macro="">
      <xdr:nvGraphicFramePr>
        <xdr:cNvPr id="4" name="Диаграмма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918076</xdr:colOff>
      <xdr:row>75</xdr:row>
      <xdr:rowOff>132087</xdr:rowOff>
    </xdr:from>
    <xdr:to>
      <xdr:col>11</xdr:col>
      <xdr:colOff>986928</xdr:colOff>
      <xdr:row>94</xdr:row>
      <xdr:rowOff>22951</xdr:rowOff>
    </xdr:to>
    <xdr:graphicFrame macro="">
      <xdr:nvGraphicFramePr>
        <xdr:cNvPr id="5" name="Диаграмма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78133</xdr:colOff>
      <xdr:row>198</xdr:row>
      <xdr:rowOff>48054</xdr:rowOff>
    </xdr:from>
    <xdr:to>
      <xdr:col>5</xdr:col>
      <xdr:colOff>1379109</xdr:colOff>
      <xdr:row>198</xdr:row>
      <xdr:rowOff>544897</xdr:rowOff>
    </xdr:to>
    <xdr:pic>
      <xdr:nvPicPr>
        <xdr:cNvPr id="10" name="Рисунок 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7317" y="48755896"/>
          <a:ext cx="1300976" cy="4968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58080</xdr:colOff>
      <xdr:row>199</xdr:row>
      <xdr:rowOff>79233</xdr:rowOff>
    </xdr:from>
    <xdr:to>
      <xdr:col>5</xdr:col>
      <xdr:colOff>1359056</xdr:colOff>
      <xdr:row>199</xdr:row>
      <xdr:rowOff>462239</xdr:rowOff>
    </xdr:to>
    <xdr:pic>
      <xdr:nvPicPr>
        <xdr:cNvPr id="12" name="Рисунок 1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7264" y="49338522"/>
          <a:ext cx="1300976" cy="3830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56489</xdr:colOff>
      <xdr:row>200</xdr:row>
      <xdr:rowOff>17975</xdr:rowOff>
    </xdr:from>
    <xdr:to>
      <xdr:col>5</xdr:col>
      <xdr:colOff>1391090</xdr:colOff>
      <xdr:row>200</xdr:row>
      <xdr:rowOff>508861</xdr:rowOff>
    </xdr:to>
    <xdr:pic>
      <xdr:nvPicPr>
        <xdr:cNvPr id="13" name="Рисунок 1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5673" y="49828712"/>
          <a:ext cx="1334601" cy="490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789879</xdr:colOff>
      <xdr:row>219</xdr:row>
      <xdr:rowOff>151006</xdr:rowOff>
    </xdr:from>
    <xdr:to>
      <xdr:col>8</xdr:col>
      <xdr:colOff>1612514</xdr:colOff>
      <xdr:row>219</xdr:row>
      <xdr:rowOff>640033</xdr:rowOff>
    </xdr:to>
    <xdr:pic>
      <xdr:nvPicPr>
        <xdr:cNvPr id="15" name="Рисунок 14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30580" y="56906067"/>
          <a:ext cx="822635" cy="4890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295655</xdr:colOff>
      <xdr:row>201</xdr:row>
      <xdr:rowOff>59669</xdr:rowOff>
    </xdr:from>
    <xdr:to>
      <xdr:col>5</xdr:col>
      <xdr:colOff>1057655</xdr:colOff>
      <xdr:row>201</xdr:row>
      <xdr:rowOff>545444</xdr:rowOff>
    </xdr:to>
    <xdr:pic>
      <xdr:nvPicPr>
        <xdr:cNvPr id="17" name="Рисунок 16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4839" y="50421853"/>
          <a:ext cx="762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255549</xdr:colOff>
      <xdr:row>205</xdr:row>
      <xdr:rowOff>127775</xdr:rowOff>
    </xdr:from>
    <xdr:to>
      <xdr:col>5</xdr:col>
      <xdr:colOff>1213185</xdr:colOff>
      <xdr:row>205</xdr:row>
      <xdr:rowOff>464526</xdr:rowOff>
    </xdr:to>
    <xdr:pic>
      <xdr:nvPicPr>
        <xdr:cNvPr id="18" name="Рисунок 17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4733" y="53257222"/>
          <a:ext cx="957636" cy="336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89749</xdr:colOff>
      <xdr:row>206</xdr:row>
      <xdr:rowOff>125696</xdr:rowOff>
    </xdr:from>
    <xdr:to>
      <xdr:col>5</xdr:col>
      <xdr:colOff>1402339</xdr:colOff>
      <xdr:row>206</xdr:row>
      <xdr:rowOff>404476</xdr:rowOff>
    </xdr:to>
    <xdr:pic>
      <xdr:nvPicPr>
        <xdr:cNvPr id="19" name="Рисунок 18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8933" y="53245117"/>
          <a:ext cx="1312590" cy="278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74952</xdr:colOff>
      <xdr:row>209</xdr:row>
      <xdr:rowOff>177415</xdr:rowOff>
    </xdr:from>
    <xdr:to>
      <xdr:col>5</xdr:col>
      <xdr:colOff>1445623</xdr:colOff>
      <xdr:row>209</xdr:row>
      <xdr:rowOff>434234</xdr:rowOff>
    </xdr:to>
    <xdr:pic>
      <xdr:nvPicPr>
        <xdr:cNvPr id="21" name="Рисунок 20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4136" y="55201836"/>
          <a:ext cx="1370671" cy="2568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280737</xdr:colOff>
      <xdr:row>207</xdr:row>
      <xdr:rowOff>50132</xdr:rowOff>
    </xdr:from>
    <xdr:to>
      <xdr:col>3</xdr:col>
      <xdr:colOff>180474</xdr:colOff>
      <xdr:row>207</xdr:row>
      <xdr:rowOff>591185</xdr:rowOff>
    </xdr:to>
    <xdr:pic>
      <xdr:nvPicPr>
        <xdr:cNvPr id="24" name="Рисунок 23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3842" y="53811237"/>
          <a:ext cx="671764" cy="5410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370973</xdr:colOff>
      <xdr:row>207</xdr:row>
      <xdr:rowOff>50133</xdr:rowOff>
    </xdr:from>
    <xdr:to>
      <xdr:col>5</xdr:col>
      <xdr:colOff>1042737</xdr:colOff>
      <xdr:row>207</xdr:row>
      <xdr:rowOff>591186</xdr:rowOff>
    </xdr:to>
    <xdr:pic>
      <xdr:nvPicPr>
        <xdr:cNvPr id="25" name="Рисунок 24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0157" y="54442896"/>
          <a:ext cx="671764" cy="5410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74952</xdr:colOff>
      <xdr:row>208</xdr:row>
      <xdr:rowOff>177415</xdr:rowOff>
    </xdr:from>
    <xdr:ext cx="1370671" cy="256819"/>
    <xdr:pic>
      <xdr:nvPicPr>
        <xdr:cNvPr id="26" name="Рисунок 25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4136" y="55833494"/>
          <a:ext cx="1370671" cy="2568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771525</xdr:colOff>
      <xdr:row>8</xdr:row>
      <xdr:rowOff>50909</xdr:rowOff>
    </xdr:from>
    <xdr:to>
      <xdr:col>1</xdr:col>
      <xdr:colOff>581025</xdr:colOff>
      <xdr:row>8</xdr:row>
      <xdr:rowOff>517634</xdr:rowOff>
    </xdr:to>
    <xdr:pic>
      <xdr:nvPicPr>
        <xdr:cNvPr id="5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2089259"/>
          <a:ext cx="15716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379358</xdr:colOff>
      <xdr:row>8</xdr:row>
      <xdr:rowOff>64047</xdr:rowOff>
    </xdr:from>
    <xdr:to>
      <xdr:col>3</xdr:col>
      <xdr:colOff>1246133</xdr:colOff>
      <xdr:row>8</xdr:row>
      <xdr:rowOff>597447</xdr:rowOff>
    </xdr:to>
    <xdr:pic>
      <xdr:nvPicPr>
        <xdr:cNvPr id="6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2133" y="2102397"/>
          <a:ext cx="26289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988957</xdr:colOff>
      <xdr:row>8</xdr:row>
      <xdr:rowOff>53208</xdr:rowOff>
    </xdr:from>
    <xdr:to>
      <xdr:col>5</xdr:col>
      <xdr:colOff>607957</xdr:colOff>
      <xdr:row>8</xdr:row>
      <xdr:rowOff>586608</xdr:rowOff>
    </xdr:to>
    <xdr:pic>
      <xdr:nvPicPr>
        <xdr:cNvPr id="7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4507" y="2091558"/>
          <a:ext cx="13811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tabSelected="1" zoomScaleNormal="100" workbookViewId="0">
      <selection activeCell="E6" sqref="E6:F6"/>
    </sheetView>
  </sheetViews>
  <sheetFormatPr defaultRowHeight="15" x14ac:dyDescent="0.25"/>
  <cols>
    <col min="2" max="2" width="12.85546875" customWidth="1"/>
    <col min="3" max="5" width="14" customWidth="1"/>
    <col min="6" max="6" width="25" customWidth="1"/>
  </cols>
  <sheetData>
    <row r="1" spans="1:15" ht="18.75" x14ac:dyDescent="0.25">
      <c r="A1" s="83" t="s">
        <v>68</v>
      </c>
      <c r="B1" s="84"/>
      <c r="C1" s="84"/>
      <c r="D1" s="84"/>
      <c r="E1" s="84"/>
      <c r="F1" s="84"/>
      <c r="G1" s="1"/>
      <c r="H1" s="1"/>
      <c r="I1" s="1"/>
      <c r="J1" s="1"/>
      <c r="K1" s="1"/>
      <c r="L1" s="1"/>
      <c r="M1" s="1"/>
      <c r="N1" s="1"/>
      <c r="O1" s="1"/>
    </row>
    <row r="2" spans="1:15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30.75" customHeight="1" x14ac:dyDescent="0.25">
      <c r="A3" s="85" t="s">
        <v>103</v>
      </c>
      <c r="B3" s="86"/>
      <c r="C3" s="86"/>
      <c r="D3" s="86"/>
      <c r="E3" s="89" t="s">
        <v>104</v>
      </c>
      <c r="F3" s="90"/>
      <c r="G3" s="1"/>
      <c r="H3" s="1"/>
      <c r="I3" s="1"/>
      <c r="J3" s="1"/>
      <c r="K3" s="1"/>
      <c r="L3" s="1"/>
      <c r="M3" s="1"/>
      <c r="N3" s="1"/>
      <c r="O3" s="1"/>
    </row>
    <row r="4" spans="1:15" ht="30.75" customHeight="1" x14ac:dyDescent="0.25">
      <c r="A4" s="85" t="s">
        <v>12</v>
      </c>
      <c r="B4" s="86"/>
      <c r="C4" s="86"/>
      <c r="D4" s="86"/>
      <c r="E4" s="87" t="s">
        <v>46</v>
      </c>
      <c r="F4" s="88"/>
      <c r="G4" s="1"/>
      <c r="H4" s="1"/>
      <c r="I4" s="1"/>
      <c r="J4" s="1"/>
      <c r="K4" s="1"/>
      <c r="L4" s="1"/>
      <c r="M4" s="1"/>
      <c r="N4" s="1"/>
      <c r="O4" s="1"/>
    </row>
    <row r="5" spans="1:15" ht="30.75" customHeight="1" x14ac:dyDescent="0.25">
      <c r="A5" s="85" t="s">
        <v>11</v>
      </c>
      <c r="B5" s="86"/>
      <c r="C5" s="86"/>
      <c r="D5" s="86"/>
      <c r="E5" s="87" t="s">
        <v>47</v>
      </c>
      <c r="F5" s="88"/>
      <c r="G5" s="1"/>
      <c r="H5" s="1"/>
      <c r="I5" s="1"/>
      <c r="J5" s="1"/>
      <c r="K5" s="1"/>
      <c r="L5" s="1"/>
      <c r="M5" s="1"/>
      <c r="N5" s="1"/>
      <c r="O5" s="1"/>
    </row>
    <row r="6" spans="1:15" ht="114.75" customHeight="1" x14ac:dyDescent="0.25">
      <c r="A6" s="85" t="s">
        <v>10</v>
      </c>
      <c r="B6" s="86"/>
      <c r="C6" s="86"/>
      <c r="D6" s="86"/>
      <c r="E6" s="89" t="s">
        <v>66</v>
      </c>
      <c r="F6" s="90"/>
      <c r="G6" s="1"/>
      <c r="H6" s="1"/>
      <c r="I6" s="1"/>
      <c r="J6" s="1"/>
      <c r="K6" s="1"/>
      <c r="L6" s="1"/>
      <c r="M6" s="1"/>
      <c r="N6" s="1"/>
      <c r="O6" s="1"/>
    </row>
    <row r="7" spans="1:15" ht="15.75" customHeight="1" x14ac:dyDescent="0.25">
      <c r="A7" s="85" t="s">
        <v>101</v>
      </c>
      <c r="B7" s="86"/>
      <c r="C7" s="86"/>
      <c r="D7" s="86"/>
      <c r="E7" s="87" t="s">
        <v>102</v>
      </c>
      <c r="F7" s="88"/>
      <c r="G7" s="1"/>
      <c r="H7" s="1"/>
      <c r="I7" s="1"/>
      <c r="J7" s="1"/>
      <c r="K7" s="1"/>
      <c r="L7" s="1"/>
      <c r="M7" s="1"/>
      <c r="N7" s="1"/>
      <c r="O7" s="1"/>
    </row>
    <row r="8" spans="1:15" ht="15.75" customHeight="1" x14ac:dyDescent="0.25">
      <c r="A8" s="85" t="s">
        <v>90</v>
      </c>
      <c r="B8" s="86"/>
      <c r="C8" s="86"/>
      <c r="D8" s="86"/>
      <c r="E8" s="87" t="s">
        <v>91</v>
      </c>
      <c r="F8" s="88"/>
      <c r="G8" s="1"/>
      <c r="H8" s="1"/>
      <c r="I8" s="1"/>
      <c r="J8" s="1"/>
      <c r="K8" s="1"/>
      <c r="L8" s="1"/>
      <c r="M8" s="1"/>
      <c r="N8" s="1"/>
      <c r="O8" s="1"/>
    </row>
    <row r="9" spans="1:15" ht="15.75" x14ac:dyDescent="0.25">
      <c r="A9" s="85" t="s">
        <v>9</v>
      </c>
      <c r="B9" s="86"/>
      <c r="C9" s="86"/>
      <c r="D9" s="86"/>
      <c r="E9" s="87" t="s">
        <v>48</v>
      </c>
      <c r="F9" s="88"/>
      <c r="G9" s="1"/>
      <c r="H9" s="1"/>
      <c r="I9" s="1"/>
      <c r="J9" s="1"/>
      <c r="K9" s="1"/>
      <c r="L9" s="1"/>
      <c r="M9" s="1"/>
      <c r="N9" s="1"/>
      <c r="O9" s="1"/>
    </row>
    <row r="10" spans="1:15" ht="15.75" x14ac:dyDescent="0.25">
      <c r="A10" s="85" t="s">
        <v>63</v>
      </c>
      <c r="B10" s="86"/>
      <c r="C10" s="86"/>
      <c r="D10" s="86"/>
      <c r="E10" s="65">
        <v>13</v>
      </c>
      <c r="F10" s="45"/>
      <c r="G10" s="1"/>
      <c r="H10" s="1"/>
      <c r="I10" s="1"/>
      <c r="J10" s="1"/>
      <c r="K10" s="1"/>
      <c r="L10" s="1"/>
      <c r="M10" s="1"/>
      <c r="N10" s="1"/>
      <c r="O10" s="1"/>
    </row>
    <row r="11" spans="1:15" ht="15.75" x14ac:dyDescent="0.25">
      <c r="A11" s="85" t="s">
        <v>64</v>
      </c>
      <c r="B11" s="86"/>
      <c r="C11" s="86"/>
      <c r="D11" s="86"/>
      <c r="E11" s="65">
        <v>13</v>
      </c>
      <c r="F11" s="45"/>
      <c r="G11" s="1"/>
      <c r="H11" s="1"/>
      <c r="I11" s="1"/>
      <c r="J11" s="1"/>
      <c r="K11" s="1"/>
      <c r="L11" s="1"/>
      <c r="M11" s="1"/>
      <c r="N11" s="1"/>
      <c r="O11" s="1"/>
    </row>
    <row r="12" spans="1:15" ht="15.75" x14ac:dyDescent="0.25">
      <c r="A12" s="85" t="s">
        <v>52</v>
      </c>
      <c r="B12" s="86"/>
      <c r="C12" s="86"/>
      <c r="D12" s="86"/>
      <c r="E12" s="65">
        <v>27</v>
      </c>
      <c r="F12" s="45"/>
      <c r="G12" s="1"/>
      <c r="H12" s="1"/>
      <c r="I12" s="1"/>
      <c r="J12" s="1"/>
      <c r="K12" s="1"/>
      <c r="L12" s="1"/>
      <c r="M12" s="1"/>
      <c r="N12" s="1"/>
      <c r="O12" s="1"/>
    </row>
    <row r="13" spans="1:15" ht="15.75" x14ac:dyDescent="0.25">
      <c r="A13" s="85" t="s">
        <v>8</v>
      </c>
      <c r="B13" s="86"/>
      <c r="C13" s="86"/>
      <c r="D13" s="86"/>
      <c r="E13" s="92" t="str">
        <f>CONCATENATE(TEXT(MIN(B19:B48), "ДД.ММ.ГГГГ")," —  ",TEXT(MAX(B19:B48), "ДД.ММ.ГГГГ"))</f>
        <v>11.01.2016 —  09.02.2016</v>
      </c>
      <c r="F13" s="93"/>
      <c r="G13" s="1"/>
      <c r="H13" s="1"/>
      <c r="I13" s="1"/>
      <c r="J13" s="1"/>
      <c r="K13" s="1"/>
      <c r="L13" s="1"/>
      <c r="M13" s="1"/>
      <c r="N13" s="1"/>
      <c r="O13" s="1"/>
    </row>
    <row r="14" spans="1:15" ht="15.75" x14ac:dyDescent="0.25">
      <c r="A14" s="85" t="s">
        <v>45</v>
      </c>
      <c r="B14" s="86"/>
      <c r="C14" s="86"/>
      <c r="D14" s="86"/>
      <c r="E14" s="65">
        <v>1.4999999999999999E-2</v>
      </c>
      <c r="F14" s="45"/>
      <c r="G14" s="1"/>
      <c r="H14" s="1"/>
      <c r="I14" s="1"/>
      <c r="J14" s="1"/>
      <c r="K14" s="1"/>
      <c r="L14" s="1"/>
      <c r="M14" s="1"/>
      <c r="N14" s="1"/>
      <c r="O14" s="1"/>
    </row>
    <row r="15" spans="1:15" ht="36.75" customHeight="1" x14ac:dyDescent="0.25">
      <c r="A15" s="103" t="s">
        <v>115</v>
      </c>
      <c r="B15" s="104"/>
      <c r="C15" s="104"/>
      <c r="D15" s="105"/>
      <c r="E15" s="87" t="s">
        <v>100</v>
      </c>
      <c r="F15" s="88"/>
      <c r="G15" s="1"/>
      <c r="H15" s="1"/>
      <c r="I15" s="1"/>
      <c r="J15" s="1"/>
      <c r="K15" s="1"/>
      <c r="L15" s="1"/>
      <c r="M15" s="1"/>
      <c r="N15" s="1"/>
      <c r="O15" s="1"/>
    </row>
    <row r="16" spans="1:15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27" customHeight="1" x14ac:dyDescent="0.25">
      <c r="A17" s="94" t="s">
        <v>1</v>
      </c>
      <c r="B17" s="96" t="s">
        <v>0</v>
      </c>
      <c r="C17" s="97" t="s">
        <v>54</v>
      </c>
      <c r="D17" s="97"/>
      <c r="E17" s="97"/>
      <c r="F17" s="96" t="s">
        <v>59</v>
      </c>
      <c r="G17" s="1"/>
      <c r="H17" s="1"/>
      <c r="I17" s="1"/>
      <c r="J17" s="1"/>
      <c r="K17" s="1"/>
      <c r="L17" s="1"/>
      <c r="M17" s="1"/>
      <c r="N17" s="1"/>
      <c r="O17" s="1"/>
    </row>
    <row r="18" spans="1:15" ht="27" customHeight="1" x14ac:dyDescent="0.25">
      <c r="A18" s="95"/>
      <c r="B18" s="96"/>
      <c r="C18" s="35" t="s">
        <v>2</v>
      </c>
      <c r="D18" s="35" t="s">
        <v>3</v>
      </c>
      <c r="E18" s="35" t="s">
        <v>4</v>
      </c>
      <c r="F18" s="98"/>
      <c r="G18" s="1"/>
      <c r="H18" s="1"/>
      <c r="I18" s="1"/>
      <c r="J18" s="1"/>
      <c r="K18" s="1"/>
      <c r="L18" s="1"/>
      <c r="M18" s="1"/>
      <c r="N18" s="1"/>
      <c r="O18" s="1"/>
    </row>
    <row r="19" spans="1:15" ht="15.75" x14ac:dyDescent="0.25">
      <c r="A19" s="35">
        <v>1</v>
      </c>
      <c r="B19" s="66">
        <v>42380</v>
      </c>
      <c r="C19" s="67">
        <v>1.4999999999999999E-2</v>
      </c>
      <c r="D19" s="67">
        <v>1.7000000000000001E-2</v>
      </c>
      <c r="E19" s="35">
        <f>IF(AND(ISBLANK(C19),ISBLANK(D19)),"",AVERAGE(C19:D19))</f>
        <v>1.6E-2</v>
      </c>
      <c r="F19" s="68" t="s">
        <v>60</v>
      </c>
      <c r="G19" s="1"/>
      <c r="H19" s="1"/>
      <c r="I19" s="1"/>
      <c r="J19" s="1"/>
      <c r="K19" s="1"/>
      <c r="L19" s="1"/>
      <c r="M19" s="1"/>
      <c r="N19" s="1"/>
      <c r="O19" s="1"/>
    </row>
    <row r="20" spans="1:15" ht="15.75" x14ac:dyDescent="0.25">
      <c r="A20" s="35">
        <v>2</v>
      </c>
      <c r="B20" s="66">
        <v>42381</v>
      </c>
      <c r="C20" s="67">
        <v>1.5800000000000002E-2</v>
      </c>
      <c r="D20" s="67">
        <v>1.3599999999999999E-2</v>
      </c>
      <c r="E20" s="35">
        <f t="shared" ref="E20:E48" si="0">IF(AND(ISBLANK(C20),ISBLANK(D20)),"",AVERAGE(C20:D20))</f>
        <v>1.4700000000000001E-2</v>
      </c>
      <c r="F20" s="68" t="s">
        <v>61</v>
      </c>
      <c r="G20" s="1"/>
      <c r="H20" s="1"/>
      <c r="I20" s="1"/>
      <c r="J20" s="1"/>
      <c r="K20" s="1"/>
      <c r="L20" s="1"/>
      <c r="M20" s="1"/>
      <c r="N20" s="1"/>
      <c r="O20" s="1"/>
    </row>
    <row r="21" spans="1:15" ht="15.75" x14ac:dyDescent="0.25">
      <c r="A21" s="35">
        <v>3</v>
      </c>
      <c r="B21" s="66">
        <v>42382</v>
      </c>
      <c r="C21" s="67">
        <v>1.6199999999999999E-2</v>
      </c>
      <c r="D21" s="67">
        <v>1.66E-2</v>
      </c>
      <c r="E21" s="35">
        <f t="shared" si="0"/>
        <v>1.6399999999999998E-2</v>
      </c>
      <c r="F21" s="68" t="s">
        <v>62</v>
      </c>
      <c r="G21" s="1"/>
      <c r="H21" s="1"/>
      <c r="I21" s="1"/>
      <c r="J21" s="1"/>
      <c r="K21" s="1"/>
      <c r="L21" s="1"/>
      <c r="M21" s="1"/>
      <c r="N21" s="1"/>
      <c r="O21" s="1"/>
    </row>
    <row r="22" spans="1:15" ht="15.75" x14ac:dyDescent="0.25">
      <c r="A22" s="35">
        <v>4</v>
      </c>
      <c r="B22" s="66">
        <v>42383</v>
      </c>
      <c r="C22" s="67">
        <v>1.5900000000000001E-2</v>
      </c>
      <c r="D22" s="67">
        <v>1.7899999999999999E-2</v>
      </c>
      <c r="E22" s="35">
        <f t="shared" si="0"/>
        <v>1.6899999999999998E-2</v>
      </c>
      <c r="F22" s="68" t="s">
        <v>60</v>
      </c>
      <c r="G22" s="1"/>
      <c r="H22" s="1"/>
      <c r="I22" s="1"/>
      <c r="J22" s="1"/>
      <c r="K22" s="1"/>
      <c r="L22" s="1"/>
      <c r="M22" s="1"/>
      <c r="N22" s="1"/>
      <c r="O22" s="1"/>
    </row>
    <row r="23" spans="1:15" ht="15.75" x14ac:dyDescent="0.25">
      <c r="A23" s="35">
        <v>5</v>
      </c>
      <c r="B23" s="66">
        <v>42384</v>
      </c>
      <c r="C23" s="67">
        <v>1.7100000000000001E-2</v>
      </c>
      <c r="D23" s="67">
        <v>1.6899999999999998E-2</v>
      </c>
      <c r="E23" s="35">
        <f t="shared" si="0"/>
        <v>1.7000000000000001E-2</v>
      </c>
      <c r="F23" s="68" t="s">
        <v>61</v>
      </c>
      <c r="G23" s="1"/>
      <c r="H23" s="1"/>
      <c r="I23" s="1"/>
      <c r="J23" s="1"/>
      <c r="K23" s="1"/>
      <c r="L23" s="1"/>
      <c r="M23" s="1"/>
      <c r="N23" s="1"/>
      <c r="O23" s="1"/>
    </row>
    <row r="24" spans="1:15" ht="15.75" x14ac:dyDescent="0.25">
      <c r="A24" s="35">
        <v>6</v>
      </c>
      <c r="B24" s="66">
        <v>42385</v>
      </c>
      <c r="C24" s="67">
        <v>1.4999999999999999E-2</v>
      </c>
      <c r="D24" s="67">
        <v>1.44E-2</v>
      </c>
      <c r="E24" s="35">
        <f t="shared" si="0"/>
        <v>1.47E-2</v>
      </c>
      <c r="F24" s="68" t="s">
        <v>62</v>
      </c>
      <c r="G24" s="1"/>
      <c r="H24" s="1"/>
      <c r="I24" s="1"/>
      <c r="J24" s="1"/>
      <c r="K24" s="1"/>
      <c r="L24" s="1"/>
      <c r="M24" s="1"/>
      <c r="N24" s="1"/>
      <c r="O24" s="1"/>
    </row>
    <row r="25" spans="1:15" ht="15.75" x14ac:dyDescent="0.25">
      <c r="A25" s="35">
        <v>7</v>
      </c>
      <c r="B25" s="66">
        <v>42386</v>
      </c>
      <c r="C25" s="67">
        <v>1.7500000000000002E-2</v>
      </c>
      <c r="D25" s="67">
        <v>1.8499999999999999E-2</v>
      </c>
      <c r="E25" s="35">
        <f t="shared" si="0"/>
        <v>1.8000000000000002E-2</v>
      </c>
      <c r="F25" s="68" t="s">
        <v>60</v>
      </c>
      <c r="G25" s="1"/>
      <c r="H25" s="1"/>
      <c r="I25" s="1"/>
      <c r="J25" s="1"/>
      <c r="K25" s="1"/>
      <c r="L25" s="1"/>
      <c r="M25" s="1"/>
      <c r="N25" s="1"/>
      <c r="O25" s="1"/>
    </row>
    <row r="26" spans="1:15" ht="15.75" x14ac:dyDescent="0.25">
      <c r="A26" s="35">
        <v>8</v>
      </c>
      <c r="B26" s="66">
        <v>42387</v>
      </c>
      <c r="C26" s="67">
        <v>1.2200000000000001E-2</v>
      </c>
      <c r="D26" s="67">
        <v>1.4800000000000001E-2</v>
      </c>
      <c r="E26" s="35">
        <f t="shared" si="0"/>
        <v>1.3500000000000002E-2</v>
      </c>
      <c r="F26" s="68" t="s">
        <v>61</v>
      </c>
      <c r="G26" s="1"/>
      <c r="H26" s="1"/>
      <c r="I26" s="1"/>
      <c r="J26" s="1"/>
      <c r="K26" s="1"/>
      <c r="L26" s="1"/>
      <c r="M26" s="1"/>
      <c r="N26" s="1"/>
      <c r="O26" s="1"/>
    </row>
    <row r="27" spans="1:15" ht="15.75" x14ac:dyDescent="0.25">
      <c r="A27" s="35">
        <v>9</v>
      </c>
      <c r="B27" s="66">
        <v>42388</v>
      </c>
      <c r="C27" s="67">
        <v>1.38E-2</v>
      </c>
      <c r="D27" s="67">
        <v>1.2E-2</v>
      </c>
      <c r="E27" s="35">
        <f t="shared" si="0"/>
        <v>1.29E-2</v>
      </c>
      <c r="F27" s="68" t="s">
        <v>62</v>
      </c>
      <c r="G27" s="1"/>
      <c r="H27" s="1"/>
      <c r="I27" s="1"/>
      <c r="J27" s="1"/>
      <c r="K27" s="1"/>
      <c r="L27" s="1"/>
      <c r="M27" s="1"/>
      <c r="N27" s="1"/>
      <c r="O27" s="1"/>
    </row>
    <row r="28" spans="1:15" ht="15.75" x14ac:dyDescent="0.25">
      <c r="A28" s="35">
        <v>10</v>
      </c>
      <c r="B28" s="66">
        <v>42389</v>
      </c>
      <c r="C28" s="67">
        <v>7.6E-3</v>
      </c>
      <c r="D28" s="67">
        <v>1.2500000000000001E-2</v>
      </c>
      <c r="E28" s="35">
        <f t="shared" si="0"/>
        <v>1.005E-2</v>
      </c>
      <c r="F28" s="68" t="s">
        <v>60</v>
      </c>
      <c r="G28" s="1"/>
      <c r="H28" s="1"/>
      <c r="I28" s="1"/>
      <c r="J28" s="1"/>
      <c r="K28" s="1"/>
      <c r="L28" s="1"/>
      <c r="M28" s="1"/>
      <c r="N28" s="1"/>
      <c r="O28" s="1"/>
    </row>
    <row r="29" spans="1:15" ht="15.75" x14ac:dyDescent="0.25">
      <c r="A29" s="35">
        <v>11</v>
      </c>
      <c r="B29" s="66">
        <v>42390</v>
      </c>
      <c r="C29" s="67">
        <v>1.2500000000000001E-2</v>
      </c>
      <c r="D29" s="67">
        <v>1.35E-2</v>
      </c>
      <c r="E29" s="35">
        <f t="shared" si="0"/>
        <v>1.3000000000000001E-2</v>
      </c>
      <c r="F29" s="68" t="s">
        <v>61</v>
      </c>
      <c r="G29" s="1"/>
      <c r="H29" s="1"/>
      <c r="I29" s="1"/>
      <c r="J29" s="1"/>
      <c r="K29" s="1"/>
      <c r="L29" s="1"/>
      <c r="M29" s="1"/>
      <c r="N29" s="1"/>
      <c r="O29" s="1"/>
    </row>
    <row r="30" spans="1:15" ht="15.75" x14ac:dyDescent="0.25">
      <c r="A30" s="35">
        <v>12</v>
      </c>
      <c r="B30" s="66">
        <v>42391</v>
      </c>
      <c r="C30" s="67">
        <v>1.7999999999999999E-2</v>
      </c>
      <c r="D30" s="67">
        <v>2.1000000000000001E-2</v>
      </c>
      <c r="E30" s="35">
        <f t="shared" si="0"/>
        <v>1.95E-2</v>
      </c>
      <c r="F30" s="68" t="s">
        <v>62</v>
      </c>
      <c r="G30" s="1"/>
      <c r="H30" s="1"/>
      <c r="I30" s="1"/>
      <c r="J30" s="1"/>
      <c r="K30" s="1"/>
      <c r="L30" s="1"/>
      <c r="M30" s="1"/>
      <c r="N30" s="1"/>
      <c r="O30" s="1"/>
    </row>
    <row r="31" spans="1:15" ht="15.75" x14ac:dyDescent="0.25">
      <c r="A31" s="35">
        <v>13</v>
      </c>
      <c r="B31" s="66">
        <v>42392</v>
      </c>
      <c r="C31" s="67">
        <v>1.5100000000000001E-2</v>
      </c>
      <c r="D31" s="67">
        <v>1.47E-2</v>
      </c>
      <c r="E31" s="35">
        <f t="shared" si="0"/>
        <v>1.49E-2</v>
      </c>
      <c r="F31" s="68" t="s">
        <v>60</v>
      </c>
      <c r="G31" s="1"/>
      <c r="H31" s="1"/>
      <c r="I31" s="1"/>
      <c r="J31" s="1"/>
      <c r="K31" s="1"/>
      <c r="L31" s="1"/>
      <c r="M31" s="1"/>
      <c r="N31" s="1"/>
      <c r="O31" s="1"/>
    </row>
    <row r="32" spans="1:15" ht="15.75" x14ac:dyDescent="0.25">
      <c r="A32" s="35">
        <v>14</v>
      </c>
      <c r="B32" s="66">
        <v>42393</v>
      </c>
      <c r="C32" s="67">
        <v>1.7600000000000001E-2</v>
      </c>
      <c r="D32" s="67">
        <v>1.4999999999999999E-2</v>
      </c>
      <c r="E32" s="35">
        <f t="shared" si="0"/>
        <v>1.6300000000000002E-2</v>
      </c>
      <c r="F32" s="68" t="s">
        <v>61</v>
      </c>
      <c r="G32" s="1"/>
      <c r="H32" s="1"/>
      <c r="I32" s="1"/>
      <c r="J32" s="1"/>
      <c r="K32" s="1"/>
      <c r="L32" s="1"/>
      <c r="M32" s="1"/>
      <c r="N32" s="1"/>
      <c r="O32" s="1"/>
    </row>
    <row r="33" spans="1:15" ht="15.75" x14ac:dyDescent="0.25">
      <c r="A33" s="35">
        <v>15</v>
      </c>
      <c r="B33" s="66">
        <v>42394</v>
      </c>
      <c r="C33" s="67">
        <v>1.55E-2</v>
      </c>
      <c r="D33" s="67">
        <v>1.67E-2</v>
      </c>
      <c r="E33" s="35">
        <f t="shared" si="0"/>
        <v>1.61E-2</v>
      </c>
      <c r="F33" s="68" t="s">
        <v>62</v>
      </c>
      <c r="G33" s="1"/>
      <c r="H33" s="1"/>
      <c r="I33" s="1"/>
      <c r="J33" s="1"/>
      <c r="K33" s="1"/>
      <c r="L33" s="1"/>
      <c r="M33" s="1"/>
      <c r="N33" s="1"/>
      <c r="O33" s="1"/>
    </row>
    <row r="34" spans="1:15" ht="15.75" x14ac:dyDescent="0.25">
      <c r="A34" s="35">
        <v>16</v>
      </c>
      <c r="B34" s="66">
        <v>42395</v>
      </c>
      <c r="C34" s="67">
        <v>1.5900000000000001E-2</v>
      </c>
      <c r="D34" s="67">
        <v>1.5900000000000001E-2</v>
      </c>
      <c r="E34" s="35">
        <f t="shared" si="0"/>
        <v>1.5900000000000001E-2</v>
      </c>
      <c r="F34" s="68" t="s">
        <v>60</v>
      </c>
      <c r="G34" s="1"/>
      <c r="H34" s="1"/>
      <c r="I34" s="1"/>
      <c r="J34" s="1"/>
      <c r="K34" s="1"/>
      <c r="L34" s="1"/>
      <c r="M34" s="1"/>
      <c r="N34" s="1"/>
      <c r="O34" s="1"/>
    </row>
    <row r="35" spans="1:15" ht="15.75" x14ac:dyDescent="0.25">
      <c r="A35" s="35">
        <v>17</v>
      </c>
      <c r="B35" s="66">
        <v>42396</v>
      </c>
      <c r="C35" s="67">
        <v>1.4999999999999999E-2</v>
      </c>
      <c r="D35" s="67">
        <v>1.6199999999999999E-2</v>
      </c>
      <c r="E35" s="35">
        <f t="shared" si="0"/>
        <v>1.5599999999999999E-2</v>
      </c>
      <c r="F35" s="68" t="s">
        <v>61</v>
      </c>
      <c r="G35" s="1"/>
      <c r="H35" s="1"/>
      <c r="I35" s="1"/>
      <c r="J35" s="1"/>
      <c r="K35" s="1"/>
      <c r="L35" s="1"/>
      <c r="M35" s="1"/>
      <c r="N35" s="1"/>
      <c r="O35" s="1"/>
    </row>
    <row r="36" spans="1:15" ht="15.75" x14ac:dyDescent="0.25">
      <c r="A36" s="35">
        <v>18</v>
      </c>
      <c r="B36" s="66">
        <v>42397</v>
      </c>
      <c r="C36" s="67">
        <v>1.2999999999999999E-2</v>
      </c>
      <c r="D36" s="67">
        <v>1.78E-2</v>
      </c>
      <c r="E36" s="35">
        <f t="shared" si="0"/>
        <v>1.54E-2</v>
      </c>
      <c r="F36" s="68" t="s">
        <v>62</v>
      </c>
      <c r="G36" s="1"/>
      <c r="H36" s="1"/>
      <c r="I36" s="1"/>
      <c r="J36" s="1"/>
      <c r="K36" s="1"/>
      <c r="L36" s="1"/>
      <c r="M36" s="1"/>
      <c r="N36" s="1"/>
      <c r="O36" s="1"/>
    </row>
    <row r="37" spans="1:15" ht="15.75" x14ac:dyDescent="0.25">
      <c r="A37" s="35">
        <v>19</v>
      </c>
      <c r="B37" s="66">
        <v>42398</v>
      </c>
      <c r="C37" s="67">
        <v>1.52E-2</v>
      </c>
      <c r="D37" s="67">
        <v>1.4800000000000001E-2</v>
      </c>
      <c r="E37" s="35">
        <f t="shared" si="0"/>
        <v>1.4999999999999999E-2</v>
      </c>
      <c r="F37" s="68" t="s">
        <v>60</v>
      </c>
      <c r="G37" s="1"/>
      <c r="H37" s="1"/>
      <c r="I37" s="1"/>
      <c r="J37" s="1"/>
      <c r="K37" s="1"/>
      <c r="L37" s="1"/>
      <c r="M37" s="1"/>
      <c r="N37" s="1"/>
      <c r="O37" s="1"/>
    </row>
    <row r="38" spans="1:15" ht="15.75" x14ac:dyDescent="0.25">
      <c r="A38" s="35">
        <v>20</v>
      </c>
      <c r="B38" s="66">
        <v>42399</v>
      </c>
      <c r="C38" s="67">
        <v>1.67E-2</v>
      </c>
      <c r="D38" s="67">
        <v>1.23E-2</v>
      </c>
      <c r="E38" s="35">
        <f t="shared" si="0"/>
        <v>1.4499999999999999E-2</v>
      </c>
      <c r="F38" s="68" t="s">
        <v>61</v>
      </c>
      <c r="G38" s="1"/>
      <c r="H38" s="1"/>
      <c r="I38" s="1"/>
      <c r="J38" s="1"/>
      <c r="K38" s="1"/>
      <c r="L38" s="1"/>
      <c r="M38" s="1"/>
      <c r="N38" s="1"/>
      <c r="O38" s="1"/>
    </row>
    <row r="39" spans="1:15" ht="15.75" x14ac:dyDescent="0.25">
      <c r="A39" s="35">
        <v>21</v>
      </c>
      <c r="B39" s="66">
        <v>42400</v>
      </c>
      <c r="C39" s="67">
        <v>1.67E-2</v>
      </c>
      <c r="D39" s="67">
        <v>1.6899999999999998E-2</v>
      </c>
      <c r="E39" s="35">
        <f t="shared" si="0"/>
        <v>1.6799999999999999E-2</v>
      </c>
      <c r="F39" s="68" t="s">
        <v>62</v>
      </c>
      <c r="G39" s="1"/>
      <c r="H39" s="1"/>
      <c r="I39" s="1"/>
      <c r="J39" s="1"/>
      <c r="K39" s="1"/>
      <c r="L39" s="1"/>
      <c r="M39" s="1"/>
      <c r="N39" s="1"/>
      <c r="O39" s="1"/>
    </row>
    <row r="40" spans="1:15" ht="15.75" x14ac:dyDescent="0.25">
      <c r="A40" s="35">
        <v>22</v>
      </c>
      <c r="B40" s="66">
        <v>42401</v>
      </c>
      <c r="C40" s="67">
        <v>1.4999999999999999E-2</v>
      </c>
      <c r="D40" s="67">
        <v>1.2E-2</v>
      </c>
      <c r="E40" s="35">
        <f t="shared" si="0"/>
        <v>1.35E-2</v>
      </c>
      <c r="F40" s="68" t="s">
        <v>60</v>
      </c>
      <c r="G40" s="1"/>
      <c r="H40" s="1"/>
      <c r="I40" s="1"/>
      <c r="J40" s="1"/>
      <c r="K40" s="1"/>
      <c r="L40" s="1"/>
      <c r="M40" s="1"/>
      <c r="N40" s="1"/>
      <c r="O40" s="1"/>
    </row>
    <row r="41" spans="1:15" ht="15.75" x14ac:dyDescent="0.25">
      <c r="A41" s="35">
        <v>23</v>
      </c>
      <c r="B41" s="66">
        <v>42402</v>
      </c>
      <c r="C41" s="67">
        <v>1.6E-2</v>
      </c>
      <c r="D41" s="67">
        <v>1.5599999999999999E-2</v>
      </c>
      <c r="E41" s="35">
        <f t="shared" si="0"/>
        <v>1.5800000000000002E-2</v>
      </c>
      <c r="F41" s="68" t="s">
        <v>61</v>
      </c>
      <c r="G41" s="1"/>
      <c r="H41" s="1"/>
      <c r="I41" s="1"/>
      <c r="J41" s="1"/>
      <c r="K41" s="1"/>
      <c r="L41" s="1"/>
      <c r="M41" s="1"/>
      <c r="N41" s="1"/>
      <c r="O41" s="1"/>
    </row>
    <row r="42" spans="1:15" ht="15.75" x14ac:dyDescent="0.25">
      <c r="A42" s="35">
        <v>24</v>
      </c>
      <c r="B42" s="66">
        <v>42403</v>
      </c>
      <c r="C42" s="67">
        <v>1.2999999999999999E-2</v>
      </c>
      <c r="D42" s="67">
        <v>1.3299999999999999E-2</v>
      </c>
      <c r="E42" s="35">
        <f t="shared" si="0"/>
        <v>1.3149999999999998E-2</v>
      </c>
      <c r="F42" s="68" t="s">
        <v>62</v>
      </c>
      <c r="G42" s="1"/>
      <c r="H42" s="1"/>
      <c r="I42" s="1"/>
      <c r="J42" s="1"/>
      <c r="K42" s="1"/>
      <c r="L42" s="1"/>
      <c r="M42" s="1"/>
      <c r="N42" s="1"/>
      <c r="O42" s="1"/>
    </row>
    <row r="43" spans="1:15" ht="15.75" x14ac:dyDescent="0.25">
      <c r="A43" s="35">
        <v>25</v>
      </c>
      <c r="B43" s="66">
        <v>42404</v>
      </c>
      <c r="C43" s="67">
        <v>1.5100000000000001E-2</v>
      </c>
      <c r="D43" s="67">
        <v>1.47E-2</v>
      </c>
      <c r="E43" s="35">
        <f t="shared" si="0"/>
        <v>1.49E-2</v>
      </c>
      <c r="F43" s="68" t="s">
        <v>60</v>
      </c>
      <c r="G43" s="1"/>
      <c r="H43" s="1"/>
      <c r="I43" s="1"/>
      <c r="J43" s="1"/>
      <c r="K43" s="1"/>
      <c r="L43" s="1"/>
      <c r="M43" s="1"/>
      <c r="N43" s="1"/>
      <c r="O43" s="1"/>
    </row>
    <row r="44" spans="1:15" ht="15.75" x14ac:dyDescent="0.25">
      <c r="A44" s="35">
        <v>26</v>
      </c>
      <c r="B44" s="66">
        <v>42405</v>
      </c>
      <c r="C44" s="67">
        <v>1.6E-2</v>
      </c>
      <c r="D44" s="67">
        <v>1.7600000000000001E-2</v>
      </c>
      <c r="E44" s="35">
        <f t="shared" si="0"/>
        <v>1.6800000000000002E-2</v>
      </c>
      <c r="F44" s="68" t="s">
        <v>61</v>
      </c>
      <c r="G44" s="1"/>
      <c r="H44" s="1"/>
      <c r="I44" s="1"/>
      <c r="J44" s="1"/>
      <c r="K44" s="1"/>
      <c r="L44" s="1"/>
      <c r="M44" s="1"/>
      <c r="N44" s="1"/>
      <c r="O44" s="1"/>
    </row>
    <row r="45" spans="1:15" ht="15.75" x14ac:dyDescent="0.25">
      <c r="A45" s="35">
        <v>27</v>
      </c>
      <c r="B45" s="66">
        <v>42406</v>
      </c>
      <c r="C45" s="67">
        <v>1.3100000000000001E-2</v>
      </c>
      <c r="D45" s="67">
        <v>1.47E-2</v>
      </c>
      <c r="E45" s="35">
        <f t="shared" si="0"/>
        <v>1.3899999999999999E-2</v>
      </c>
      <c r="F45" s="68" t="s">
        <v>62</v>
      </c>
      <c r="G45" s="1"/>
      <c r="H45" s="1"/>
      <c r="I45" s="1"/>
      <c r="J45" s="1"/>
      <c r="K45" s="1"/>
      <c r="L45" s="1"/>
      <c r="M45" s="1"/>
      <c r="N45" s="1"/>
      <c r="O45" s="1"/>
    </row>
    <row r="46" spans="1:15" ht="15.75" x14ac:dyDescent="0.25">
      <c r="A46" s="35">
        <v>28</v>
      </c>
      <c r="B46" s="66">
        <v>42407</v>
      </c>
      <c r="C46" s="67">
        <v>1.4500000000000001E-2</v>
      </c>
      <c r="D46" s="67">
        <v>1.5100000000000001E-2</v>
      </c>
      <c r="E46" s="35">
        <f t="shared" si="0"/>
        <v>1.4800000000000001E-2</v>
      </c>
      <c r="F46" s="68" t="s">
        <v>60</v>
      </c>
      <c r="G46" s="1"/>
      <c r="H46" s="1"/>
      <c r="I46" s="1"/>
      <c r="J46" s="1"/>
      <c r="K46" s="1"/>
      <c r="L46" s="1"/>
      <c r="M46" s="1"/>
      <c r="N46" s="1"/>
      <c r="O46" s="1"/>
    </row>
    <row r="47" spans="1:15" ht="15.75" x14ac:dyDescent="0.25">
      <c r="A47" s="35">
        <v>29</v>
      </c>
      <c r="B47" s="66">
        <v>42408</v>
      </c>
      <c r="C47" s="67">
        <v>1.4E-2</v>
      </c>
      <c r="D47" s="67">
        <v>1.2999999999999999E-2</v>
      </c>
      <c r="E47" s="35">
        <f t="shared" si="0"/>
        <v>1.35E-2</v>
      </c>
      <c r="F47" s="68" t="s">
        <v>61</v>
      </c>
      <c r="G47" s="1"/>
      <c r="H47" s="1"/>
      <c r="I47" s="1"/>
      <c r="J47" s="1"/>
      <c r="K47" s="1"/>
      <c r="L47" s="1"/>
      <c r="M47" s="1"/>
      <c r="N47" s="1"/>
      <c r="O47" s="1"/>
    </row>
    <row r="48" spans="1:15" ht="15.75" x14ac:dyDescent="0.25">
      <c r="A48" s="35">
        <v>30</v>
      </c>
      <c r="B48" s="66">
        <v>42409</v>
      </c>
      <c r="C48" s="67">
        <v>1.54E-2</v>
      </c>
      <c r="D48" s="67">
        <v>1.5599999999999999E-2</v>
      </c>
      <c r="E48" s="35">
        <f t="shared" si="0"/>
        <v>1.55E-2</v>
      </c>
      <c r="F48" s="68" t="s">
        <v>62</v>
      </c>
      <c r="G48" s="1"/>
      <c r="H48" s="1"/>
      <c r="I48" s="1"/>
      <c r="J48" s="1"/>
      <c r="K48" s="1"/>
      <c r="L48" s="1"/>
      <c r="M48" s="1"/>
      <c r="N48" s="1"/>
      <c r="O48" s="1"/>
    </row>
    <row r="49" spans="1:15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5.75" x14ac:dyDescent="0.25">
      <c r="A50" s="99" t="s">
        <v>108</v>
      </c>
      <c r="B50" s="100"/>
      <c r="C50" s="100"/>
      <c r="D50" s="100"/>
      <c r="E50" s="101" t="s">
        <v>112</v>
      </c>
      <c r="F50" s="102"/>
      <c r="G50" s="1"/>
      <c r="H50" s="1"/>
      <c r="I50" s="1"/>
      <c r="J50" s="1"/>
      <c r="K50" s="1"/>
      <c r="L50" s="1"/>
      <c r="M50" s="1"/>
      <c r="N50" s="1"/>
      <c r="O50" s="1"/>
    </row>
    <row r="51" spans="1:15" ht="15.75" x14ac:dyDescent="0.25">
      <c r="A51" s="99" t="s">
        <v>109</v>
      </c>
      <c r="B51" s="100"/>
      <c r="C51" s="100"/>
      <c r="D51" s="100"/>
      <c r="E51" s="101" t="s">
        <v>113</v>
      </c>
      <c r="F51" s="102"/>
      <c r="G51" s="1"/>
      <c r="H51" s="1"/>
      <c r="I51" s="1"/>
      <c r="J51" s="1"/>
      <c r="K51" s="1"/>
      <c r="L51" s="1"/>
      <c r="M51" s="1"/>
      <c r="N51" s="1"/>
      <c r="O51" s="1"/>
    </row>
    <row r="52" spans="1:15" ht="15.75" x14ac:dyDescent="0.25">
      <c r="A52" s="99" t="s">
        <v>110</v>
      </c>
      <c r="B52" s="100"/>
      <c r="C52" s="100"/>
      <c r="D52" s="100"/>
      <c r="E52" s="101" t="s">
        <v>105</v>
      </c>
      <c r="F52" s="102"/>
      <c r="G52" s="1"/>
      <c r="H52" s="1"/>
      <c r="I52" s="1"/>
      <c r="J52" s="1"/>
      <c r="K52" s="1"/>
      <c r="L52" s="1"/>
      <c r="M52" s="1"/>
      <c r="N52" s="1"/>
      <c r="O52" s="1"/>
    </row>
    <row r="53" spans="1:15" ht="15.75" x14ac:dyDescent="0.25">
      <c r="A53" s="99" t="s">
        <v>111</v>
      </c>
      <c r="B53" s="100"/>
      <c r="C53" s="100"/>
      <c r="D53" s="100"/>
      <c r="E53" s="101" t="s">
        <v>114</v>
      </c>
      <c r="F53" s="102"/>
      <c r="G53" s="1"/>
      <c r="H53" s="1"/>
      <c r="I53" s="1"/>
      <c r="J53" s="1"/>
      <c r="K53" s="1"/>
      <c r="L53" s="1"/>
      <c r="M53" s="1"/>
      <c r="N53" s="1"/>
      <c r="O53" s="1"/>
    </row>
    <row r="54" spans="1:15" ht="15.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7" spans="1:15" ht="88.5" customHeight="1" x14ac:dyDescent="0.25">
      <c r="A57" s="91" t="s">
        <v>117</v>
      </c>
      <c r="B57" s="91"/>
      <c r="C57" s="91"/>
      <c r="D57" s="91"/>
      <c r="E57" s="91"/>
      <c r="F57" s="91"/>
    </row>
  </sheetData>
  <sheetProtection sheet="1" objects="1" scenarios="1" formatCells="0" formatColumns="0" formatRows="0"/>
  <mergeCells count="36">
    <mergeCell ref="E50:F50"/>
    <mergeCell ref="A51:D51"/>
    <mergeCell ref="E51:F51"/>
    <mergeCell ref="A52:D52"/>
    <mergeCell ref="A11:D11"/>
    <mergeCell ref="A12:D12"/>
    <mergeCell ref="A13:D13"/>
    <mergeCell ref="A9:D9"/>
    <mergeCell ref="A57:F57"/>
    <mergeCell ref="A14:D14"/>
    <mergeCell ref="E13:F13"/>
    <mergeCell ref="A17:A18"/>
    <mergeCell ref="B17:B18"/>
    <mergeCell ref="C17:E17"/>
    <mergeCell ref="F17:F18"/>
    <mergeCell ref="A53:D53"/>
    <mergeCell ref="E53:F53"/>
    <mergeCell ref="A15:D15"/>
    <mergeCell ref="E15:F15"/>
    <mergeCell ref="A50:D50"/>
    <mergeCell ref="E52:F52"/>
    <mergeCell ref="E9:F9"/>
    <mergeCell ref="A10:D10"/>
    <mergeCell ref="A1:F1"/>
    <mergeCell ref="A8:D8"/>
    <mergeCell ref="E8:F8"/>
    <mergeCell ref="A7:D7"/>
    <mergeCell ref="E7:F7"/>
    <mergeCell ref="A3:D3"/>
    <mergeCell ref="E3:F3"/>
    <mergeCell ref="E4:F4"/>
    <mergeCell ref="E5:F5"/>
    <mergeCell ref="E6:F6"/>
    <mergeCell ref="A4:D4"/>
    <mergeCell ref="A5:D5"/>
    <mergeCell ref="A6:D6"/>
  </mergeCells>
  <dataValidations count="1">
    <dataValidation type="list" allowBlank="1" showInputMessage="1" showErrorMessage="1" sqref="E15:F15">
      <formula1>"специального эксперимента,контрольных измерений"</formula1>
    </dataValidation>
  </dataValidations>
  <pageMargins left="0.59055118110236227" right="0.59055118110236227" top="0.59055118110236227" bottom="0.39370078740157483" header="0.19685039370078741" footer="0.19685039370078741"/>
  <pageSetup paperSize="9" orientation="portrait" r:id="rId1"/>
  <ignoredErrors>
    <ignoredError sqref="E19:E48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44"/>
  <sheetViews>
    <sheetView topLeftCell="A28" zoomScale="95" zoomScaleNormal="95" zoomScaleSheetLayoutView="100" workbookViewId="0">
      <selection activeCell="M20" sqref="M20"/>
    </sheetView>
  </sheetViews>
  <sheetFormatPr defaultRowHeight="15" x14ac:dyDescent="0.25"/>
  <cols>
    <col min="1" max="1" width="5" customWidth="1"/>
    <col min="2" max="2" width="12.7109375" customWidth="1"/>
    <col min="3" max="5" width="11.5703125" customWidth="1"/>
    <col min="6" max="8" width="21.85546875" customWidth="1"/>
    <col min="9" max="9" width="33.28515625" customWidth="1"/>
    <col min="10" max="10" width="32.42578125" customWidth="1"/>
    <col min="11" max="12" width="16.5703125" customWidth="1"/>
    <col min="13" max="15" width="32.42578125" customWidth="1"/>
    <col min="16" max="17" width="21.5703125" customWidth="1"/>
    <col min="18" max="18" width="18.7109375" customWidth="1"/>
    <col min="19" max="20" width="21.5703125" customWidth="1"/>
    <col min="21" max="23" width="18.7109375" customWidth="1"/>
    <col min="28" max="28" width="9.140625" customWidth="1"/>
    <col min="36" max="36" width="9.140625" customWidth="1"/>
  </cols>
  <sheetData>
    <row r="1" spans="1:32" ht="18.75" x14ac:dyDescent="0.25">
      <c r="A1" s="140" t="s">
        <v>65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ht="20.25" customHeight="1" x14ac:dyDescent="0.25">
      <c r="A4" s="147" t="s">
        <v>12</v>
      </c>
      <c r="B4" s="156"/>
      <c r="C4" s="156"/>
      <c r="D4" s="156"/>
      <c r="E4" s="156"/>
      <c r="F4" s="156"/>
      <c r="G4" s="156"/>
      <c r="H4" s="157"/>
      <c r="I4" s="167" t="str">
        <f>'Исходные данные'!E4</f>
        <v>Молоко сухое</v>
      </c>
      <c r="J4" s="168"/>
      <c r="K4" s="168"/>
      <c r="L4" s="169"/>
      <c r="M4" s="8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ht="20.25" customHeight="1" x14ac:dyDescent="0.25">
      <c r="A5" s="147" t="s">
        <v>11</v>
      </c>
      <c r="B5" s="156"/>
      <c r="C5" s="156"/>
      <c r="D5" s="156"/>
      <c r="E5" s="156"/>
      <c r="F5" s="156"/>
      <c r="G5" s="156"/>
      <c r="H5" s="157"/>
      <c r="I5" s="167" t="str">
        <f>'Исходные данные'!E5</f>
        <v xml:space="preserve">Массовая доля кадмия </v>
      </c>
      <c r="J5" s="168"/>
      <c r="K5" s="168"/>
      <c r="L5" s="169"/>
      <c r="M5" s="8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ht="44.25" customHeight="1" x14ac:dyDescent="0.25">
      <c r="A6" s="147" t="s">
        <v>10</v>
      </c>
      <c r="B6" s="148"/>
      <c r="C6" s="148"/>
      <c r="D6" s="148"/>
      <c r="E6" s="148"/>
      <c r="F6" s="148"/>
      <c r="G6" s="148"/>
      <c r="H6" s="130"/>
      <c r="I6" s="164" t="str">
        <f>'Исходные данные'!E6</f>
        <v>Аттестованная методика измерений определения содержания токсичных элементов (кадмия, свинца, меди и цинка) в продуктах пищевых и продовольственном сырье инверсионно-вольтамперометрическими методами</v>
      </c>
      <c r="J6" s="165"/>
      <c r="K6" s="165"/>
      <c r="L6" s="166"/>
      <c r="M6" s="8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ht="15.75" x14ac:dyDescent="0.25">
      <c r="A7" s="147" t="s">
        <v>9</v>
      </c>
      <c r="B7" s="148"/>
      <c r="C7" s="148"/>
      <c r="D7" s="148"/>
      <c r="E7" s="148"/>
      <c r="F7" s="148"/>
      <c r="G7" s="148"/>
      <c r="H7" s="130"/>
      <c r="I7" s="46" t="str">
        <f>'Исходные данные'!E9</f>
        <v>мк/кг</v>
      </c>
      <c r="J7" s="47"/>
      <c r="K7" s="47"/>
      <c r="L7" s="48"/>
      <c r="M7" s="19"/>
      <c r="N7" s="21"/>
      <c r="O7" s="20"/>
      <c r="P7" s="22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ht="15.75" x14ac:dyDescent="0.25">
      <c r="A8" s="147" t="s">
        <v>17</v>
      </c>
      <c r="B8" s="148"/>
      <c r="C8" s="148"/>
      <c r="D8" s="148"/>
      <c r="E8" s="148"/>
      <c r="F8" s="148"/>
      <c r="G8" s="148"/>
      <c r="H8" s="130"/>
      <c r="I8" s="46">
        <f>'Исходные данные'!E10</f>
        <v>13</v>
      </c>
      <c r="J8" s="47"/>
      <c r="K8" s="47"/>
      <c r="L8" s="48"/>
      <c r="M8" s="19"/>
      <c r="N8" s="21"/>
      <c r="O8" s="20"/>
      <c r="P8" s="22"/>
      <c r="Q8" s="1"/>
      <c r="R8" s="23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ht="15.75" x14ac:dyDescent="0.25">
      <c r="A9" s="147" t="s">
        <v>16</v>
      </c>
      <c r="B9" s="148"/>
      <c r="C9" s="148"/>
      <c r="D9" s="148"/>
      <c r="E9" s="148"/>
      <c r="F9" s="148"/>
      <c r="G9" s="148"/>
      <c r="H9" s="130"/>
      <c r="I9" s="46">
        <f>'Исходные данные'!E11</f>
        <v>13</v>
      </c>
      <c r="J9" s="47"/>
      <c r="K9" s="47"/>
      <c r="L9" s="48"/>
      <c r="M9" s="9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ht="15.75" x14ac:dyDescent="0.25">
      <c r="A10" s="144" t="s">
        <v>52</v>
      </c>
      <c r="B10" s="145"/>
      <c r="C10" s="145"/>
      <c r="D10" s="145"/>
      <c r="E10" s="145"/>
      <c r="F10" s="145"/>
      <c r="G10" s="145"/>
      <c r="H10" s="146"/>
      <c r="I10" s="46">
        <f>'Исходные данные'!E12</f>
        <v>27</v>
      </c>
      <c r="J10" s="47"/>
      <c r="K10" s="47"/>
      <c r="L10" s="48"/>
      <c r="M10" s="9"/>
      <c r="N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ht="15.75" x14ac:dyDescent="0.25">
      <c r="A11" s="147" t="s">
        <v>8</v>
      </c>
      <c r="B11" s="148"/>
      <c r="C11" s="148"/>
      <c r="D11" s="148"/>
      <c r="E11" s="148"/>
      <c r="F11" s="148"/>
      <c r="G11" s="148"/>
      <c r="H11" s="130"/>
      <c r="I11" s="49" t="str">
        <f>CONCATENATE(TEXT(MIN(B20:B49), "ДД.ММ.ГГГГ")," —  ",TEXT(MAX(B20:B49), "ДД.ММ.ГГГГ"))</f>
        <v>11.01.2016 —  09.02.2016</v>
      </c>
      <c r="J11" s="47"/>
      <c r="K11" s="47"/>
      <c r="L11" s="48"/>
      <c r="M11" s="9"/>
      <c r="N11" s="1"/>
      <c r="O11" s="1"/>
      <c r="P11" s="1"/>
      <c r="Q11" s="22"/>
      <c r="R11" s="1"/>
      <c r="S11" s="22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ht="15.75" x14ac:dyDescent="0.25">
      <c r="A12" s="147" t="s">
        <v>45</v>
      </c>
      <c r="B12" s="148"/>
      <c r="C12" s="148"/>
      <c r="D12" s="148"/>
      <c r="E12" s="148"/>
      <c r="F12" s="148"/>
      <c r="G12" s="148"/>
      <c r="H12" s="130"/>
      <c r="I12" s="50">
        <f>'Исходные данные'!E14</f>
        <v>1.4999999999999999E-2</v>
      </c>
      <c r="J12" s="47"/>
      <c r="K12" s="47"/>
      <c r="L12" s="48"/>
      <c r="M12" s="9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ht="15.75" x14ac:dyDescent="0.25">
      <c r="A13" s="158" t="s">
        <v>7</v>
      </c>
      <c r="B13" s="159"/>
      <c r="C13" s="159"/>
      <c r="D13" s="159"/>
      <c r="E13" s="159"/>
      <c r="F13" s="159"/>
      <c r="G13" s="159"/>
      <c r="H13" s="160"/>
      <c r="I13" s="94" t="s">
        <v>14</v>
      </c>
      <c r="J13" s="94" t="s">
        <v>15</v>
      </c>
      <c r="K13" s="122" t="s">
        <v>13</v>
      </c>
      <c r="L13" s="171"/>
      <c r="M13" s="10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ht="36.75" customHeight="1" x14ac:dyDescent="0.25">
      <c r="A14" s="161"/>
      <c r="B14" s="162"/>
      <c r="C14" s="162"/>
      <c r="D14" s="162"/>
      <c r="E14" s="162"/>
      <c r="F14" s="162"/>
      <c r="G14" s="162"/>
      <c r="H14" s="163"/>
      <c r="I14" s="170"/>
      <c r="J14" s="170"/>
      <c r="K14" s="3" t="s">
        <v>18</v>
      </c>
      <c r="L14" s="3" t="s">
        <v>19</v>
      </c>
      <c r="M14" s="10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ht="25.5" customHeight="1" x14ac:dyDescent="0.25">
      <c r="A15" s="147" t="s">
        <v>56</v>
      </c>
      <c r="B15" s="148"/>
      <c r="C15" s="148"/>
      <c r="D15" s="148"/>
      <c r="E15" s="148"/>
      <c r="F15" s="148"/>
      <c r="G15" s="148"/>
      <c r="H15" s="130"/>
      <c r="I15" s="2">
        <f>ROUND(0.01*3.686*I8,2)</f>
        <v>0.48</v>
      </c>
      <c r="J15" s="7">
        <f>ROUND(0.01*3.686*I9,2)</f>
        <v>0.48</v>
      </c>
      <c r="K15" s="2">
        <f>ROUND(-0.015*I12*I10/I12,2)</f>
        <v>-0.41</v>
      </c>
      <c r="L15" s="2">
        <f>ROUND(0.015*I12*I10/I12,2)</f>
        <v>0.41</v>
      </c>
      <c r="M15" s="1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ht="25.5" customHeight="1" x14ac:dyDescent="0.25">
      <c r="A16" s="147" t="s">
        <v>57</v>
      </c>
      <c r="B16" s="148"/>
      <c r="C16" s="148"/>
      <c r="D16" s="148"/>
      <c r="E16" s="148"/>
      <c r="F16" s="148"/>
      <c r="G16" s="148"/>
      <c r="H16" s="130"/>
      <c r="I16" s="2">
        <f>ROUND(0.01*2.834*I8,2)</f>
        <v>0.37</v>
      </c>
      <c r="J16" s="7">
        <f>ROUND(0.01*2.834*I9,2)</f>
        <v>0.37</v>
      </c>
      <c r="K16" s="2">
        <f>ROUND(-0.01*I12*I10/I12,2)</f>
        <v>-0.27</v>
      </c>
      <c r="L16" s="2">
        <f>ROUND(0.01*I12*I10/I12,2)</f>
        <v>0.27</v>
      </c>
      <c r="M16" s="1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ht="25.5" customHeight="1" x14ac:dyDescent="0.25">
      <c r="A17" s="147" t="s">
        <v>58</v>
      </c>
      <c r="B17" s="148"/>
      <c r="C17" s="148"/>
      <c r="D17" s="148"/>
      <c r="E17" s="148"/>
      <c r="F17" s="148"/>
      <c r="G17" s="148"/>
      <c r="H17" s="130"/>
      <c r="I17" s="2">
        <f>ROUND(0.01*1.128*I8,2)</f>
        <v>0.15</v>
      </c>
      <c r="J17" s="7">
        <f>ROUND(0.01*1.128*I9,2)</f>
        <v>0.15</v>
      </c>
      <c r="K17" s="115">
        <v>0</v>
      </c>
      <c r="L17" s="138"/>
      <c r="M17" s="1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ht="48.75" customHeight="1" x14ac:dyDescent="0.25">
      <c r="A18" s="94" t="s">
        <v>1</v>
      </c>
      <c r="B18" s="96" t="s">
        <v>0</v>
      </c>
      <c r="C18" s="122" t="s">
        <v>54</v>
      </c>
      <c r="D18" s="123"/>
      <c r="E18" s="124"/>
      <c r="F18" s="97" t="s">
        <v>55</v>
      </c>
      <c r="G18" s="97"/>
      <c r="H18" s="97"/>
      <c r="I18" s="122" t="s">
        <v>6</v>
      </c>
      <c r="J18" s="172"/>
      <c r="K18" s="172"/>
      <c r="L18" s="171"/>
      <c r="M18" s="10"/>
      <c r="N18" s="1"/>
      <c r="O18" s="1"/>
      <c r="P18" s="1"/>
      <c r="Q18" s="1"/>
      <c r="R18" s="1"/>
      <c r="S18" s="1"/>
      <c r="T18" s="1"/>
      <c r="U18" s="1"/>
    </row>
    <row r="19" spans="1:32" ht="83.25" customHeight="1" x14ac:dyDescent="0.25">
      <c r="A19" s="121"/>
      <c r="B19" s="96"/>
      <c r="C19" s="35" t="s">
        <v>2</v>
      </c>
      <c r="D19" s="35" t="s">
        <v>3</v>
      </c>
      <c r="E19" s="35" t="s">
        <v>4</v>
      </c>
      <c r="F19" s="41" t="s">
        <v>14</v>
      </c>
      <c r="G19" s="41" t="s">
        <v>15</v>
      </c>
      <c r="H19" s="41" t="s">
        <v>13</v>
      </c>
      <c r="I19" s="40" t="s">
        <v>25</v>
      </c>
      <c r="J19" s="40" t="s">
        <v>24</v>
      </c>
      <c r="K19" s="173" t="s">
        <v>26</v>
      </c>
      <c r="L19" s="174"/>
      <c r="M19" s="115" t="s">
        <v>27</v>
      </c>
      <c r="N19" s="155"/>
      <c r="O19" s="138"/>
      <c r="P19" s="115" t="s">
        <v>28</v>
      </c>
      <c r="Q19" s="155"/>
      <c r="R19" s="138"/>
      <c r="S19" s="96" t="s">
        <v>29</v>
      </c>
      <c r="T19" s="96"/>
      <c r="U19" s="96"/>
      <c r="V19" s="100"/>
      <c r="W19" s="100"/>
    </row>
    <row r="20" spans="1:32" ht="20.100000000000001" customHeight="1" x14ac:dyDescent="0.25">
      <c r="A20" s="17">
        <f>IF(ISBLANK('Исходные данные'!C19),"",'Исходные данные'!A19)</f>
        <v>1</v>
      </c>
      <c r="B20" s="51">
        <f>IF(ISBLANK('Исходные данные'!B19),"",'Исходные данные'!B19)</f>
        <v>42380</v>
      </c>
      <c r="C20" s="52">
        <f>IF(ISBLANK('Исходные данные'!C19),"",'Исходные данные'!C19)</f>
        <v>1.4999999999999999E-2</v>
      </c>
      <c r="D20" s="52">
        <f>IF(ISBLANK('Исходные данные'!D19),"",'Исходные данные'!D19)</f>
        <v>1.7000000000000001E-2</v>
      </c>
      <c r="E20" s="2">
        <f>IF(ISERROR(AVERAGE(C20:D20)),"",AVERAGE(C20:D20))</f>
        <v>1.6E-2</v>
      </c>
      <c r="F20" s="7">
        <f>IF(ISERROR(ABS(C20-D20)/E20),"",ABS(C20-D20)/E20)</f>
        <v>0.12500000000000011</v>
      </c>
      <c r="G20" s="35" t="s">
        <v>36</v>
      </c>
      <c r="H20" s="2">
        <f>IF(ISERROR((E20-$I$12)/$I$12),"",(E20-$I$12)/$I$12)</f>
        <v>6.6666666666666735E-2</v>
      </c>
      <c r="I20" s="7" t="str">
        <f>IF(F20="","",IF(F20&gt;$I$15,"Сверх предела действия",IF(F20&gt;$I$16,"Сверх предела предупреждения","—")))</f>
        <v>—</v>
      </c>
      <c r="J20" s="7" t="s">
        <v>36</v>
      </c>
      <c r="K20" s="134" t="str">
        <f>IF(H20="","",IF(ABS(H20)&gt;$L$15,"Сверх предела действия",IF(ABS(H20)&gt;$L$16,"Сверх предела предупреждения","—")))</f>
        <v>—</v>
      </c>
      <c r="L20" s="134"/>
      <c r="M20" s="7">
        <f>$I$17</f>
        <v>0.15</v>
      </c>
      <c r="N20" s="2">
        <f>$I$16</f>
        <v>0.37</v>
      </c>
      <c r="O20" s="2">
        <f>$I$15</f>
        <v>0.48</v>
      </c>
      <c r="P20" s="2">
        <f>$J$17</f>
        <v>0.15</v>
      </c>
      <c r="Q20" s="2">
        <f>$J$16</f>
        <v>0.37</v>
      </c>
      <c r="R20" s="2">
        <f>$J$15</f>
        <v>0.48</v>
      </c>
      <c r="S20" s="2">
        <f>$K$17</f>
        <v>0</v>
      </c>
      <c r="T20" s="2">
        <f>$K$16</f>
        <v>-0.27</v>
      </c>
      <c r="U20" s="2">
        <f>$L$16</f>
        <v>0.27</v>
      </c>
      <c r="V20" s="2">
        <f>$K$15</f>
        <v>-0.41</v>
      </c>
      <c r="W20" s="2">
        <f>$L$15</f>
        <v>0.41</v>
      </c>
      <c r="X20" s="1"/>
    </row>
    <row r="21" spans="1:32" ht="20.100000000000001" customHeight="1" x14ac:dyDescent="0.25">
      <c r="A21" s="43">
        <f>IF(ISBLANK('Исходные данные'!C20),"",'Исходные данные'!A20)</f>
        <v>2</v>
      </c>
      <c r="B21" s="51">
        <f>IF(ISBLANK('Исходные данные'!B20),"",'Исходные данные'!B20)</f>
        <v>42381</v>
      </c>
      <c r="C21" s="52">
        <f>IF(ISBLANK('Исходные данные'!C20),"",'Исходные данные'!C20)</f>
        <v>1.5800000000000002E-2</v>
      </c>
      <c r="D21" s="52">
        <f>IF(ISBLANK('Исходные данные'!D20),"",'Исходные данные'!D20)</f>
        <v>1.3599999999999999E-2</v>
      </c>
      <c r="E21" s="35">
        <f t="shared" ref="E21:E49" si="0">IF(ISERROR(AVERAGE(C21:D21)),"",AVERAGE(C21:D21))</f>
        <v>1.4700000000000001E-2</v>
      </c>
      <c r="F21" s="34">
        <f t="shared" ref="F21:F49" si="1">IF(ISERROR(ABS(C21-D21)/E21),"",ABS(C21-D21)/E21)</f>
        <v>0.14965986394557837</v>
      </c>
      <c r="G21" s="2">
        <f>IF(ISERROR(ABS(E21-E20)/AVERAGE(E20:E21)),"",ABS(E21-E20)/AVERAGE(E20:E21))</f>
        <v>8.4690553745928279E-2</v>
      </c>
      <c r="H21" s="35">
        <f t="shared" ref="H21:H49" si="2">IF(ISERROR((E21-$I$12)/$I$12),"",(E21-$I$12)/$I$12)</f>
        <v>-1.9999999999999879E-2</v>
      </c>
      <c r="I21" s="34" t="str">
        <f t="shared" ref="I21:I49" si="3">IF(F21="","",IF(F21&gt;$I$15,"Сверх предела действия",IF(F21&gt;$I$16,"Сверх предела предупреждения","—")))</f>
        <v>—</v>
      </c>
      <c r="J21" s="7" t="str">
        <f>IF(G21="","",IF(G21&gt;$J$15,"Сверх предела действия",IF(G21&gt;$J$16,"Сверх предела предупреждения","—")))</f>
        <v>—</v>
      </c>
      <c r="K21" s="139" t="str">
        <f t="shared" ref="K21:K49" si="4">IF(H21="","",IF(ABS(H21)&gt;$L$15,"Сверх предела действия",IF(ABS(H21)&gt;$L$16,"Сверх предела предупреждения","—")))</f>
        <v>—</v>
      </c>
      <c r="L21" s="149"/>
      <c r="M21" s="7">
        <f t="shared" ref="M21:M49" si="5">$I$17</f>
        <v>0.15</v>
      </c>
      <c r="N21" s="2">
        <f t="shared" ref="N21:N49" si="6">$I$16</f>
        <v>0.37</v>
      </c>
      <c r="O21" s="2">
        <f t="shared" ref="O21:O49" si="7">$I$15</f>
        <v>0.48</v>
      </c>
      <c r="P21" s="2">
        <f t="shared" ref="P21:P49" si="8">$J$17</f>
        <v>0.15</v>
      </c>
      <c r="Q21" s="2">
        <f t="shared" ref="Q21:Q49" si="9">$J$16</f>
        <v>0.37</v>
      </c>
      <c r="R21" s="2">
        <f t="shared" ref="R21:R49" si="10">$J$15</f>
        <v>0.48</v>
      </c>
      <c r="S21" s="2">
        <f t="shared" ref="S21:S49" si="11">$K$17</f>
        <v>0</v>
      </c>
      <c r="T21" s="2">
        <f t="shared" ref="T21:T49" si="12">$K$16</f>
        <v>-0.27</v>
      </c>
      <c r="U21" s="2">
        <f t="shared" ref="U21:U49" si="13">$L$16</f>
        <v>0.27</v>
      </c>
      <c r="V21" s="2">
        <f t="shared" ref="V21:V49" si="14">$K$15</f>
        <v>-0.41</v>
      </c>
      <c r="W21" s="2">
        <f t="shared" ref="W21:W49" si="15">$L$15</f>
        <v>0.41</v>
      </c>
      <c r="X21" s="1"/>
    </row>
    <row r="22" spans="1:32" ht="20.100000000000001" customHeight="1" x14ac:dyDescent="0.25">
      <c r="A22" s="43">
        <f>IF(ISBLANK('Исходные данные'!C21),"",'Исходные данные'!A21)</f>
        <v>3</v>
      </c>
      <c r="B22" s="51">
        <f>IF(ISBLANK('Исходные данные'!B21),"",'Исходные данные'!B21)</f>
        <v>42382</v>
      </c>
      <c r="C22" s="52">
        <f>IF(ISBLANK('Исходные данные'!C21),"",'Исходные данные'!C21)</f>
        <v>1.6199999999999999E-2</v>
      </c>
      <c r="D22" s="52">
        <f>IF(ISBLANK('Исходные данные'!D21),"",'Исходные данные'!D21)</f>
        <v>1.66E-2</v>
      </c>
      <c r="E22" s="35">
        <f t="shared" si="0"/>
        <v>1.6399999999999998E-2</v>
      </c>
      <c r="F22" s="34">
        <f t="shared" si="1"/>
        <v>2.4390243902439091E-2</v>
      </c>
      <c r="G22" s="35">
        <f t="shared" ref="G22:G49" si="16">IF(ISERROR(ABS(E22-E21)/AVERAGE(E21:E22)),"",ABS(E22-E21)/AVERAGE(E21:E22))</f>
        <v>0.10932475884244351</v>
      </c>
      <c r="H22" s="35">
        <f t="shared" si="2"/>
        <v>9.333333333333324E-2</v>
      </c>
      <c r="I22" s="34" t="str">
        <f t="shared" si="3"/>
        <v>—</v>
      </c>
      <c r="J22" s="34" t="str">
        <f t="shared" ref="J22:J49" si="17">IF(G22="","",IF(G22&gt;$J$15,"Сверх предела действия",IF(G22&gt;$J$16,"Сверх предела предупреждения","—")))</f>
        <v>—</v>
      </c>
      <c r="K22" s="139" t="str">
        <f t="shared" si="4"/>
        <v>—</v>
      </c>
      <c r="L22" s="149"/>
      <c r="M22" s="7">
        <f t="shared" si="5"/>
        <v>0.15</v>
      </c>
      <c r="N22" s="2">
        <f t="shared" si="6"/>
        <v>0.37</v>
      </c>
      <c r="O22" s="2">
        <f t="shared" si="7"/>
        <v>0.48</v>
      </c>
      <c r="P22" s="2">
        <f t="shared" si="8"/>
        <v>0.15</v>
      </c>
      <c r="Q22" s="2">
        <f t="shared" si="9"/>
        <v>0.37</v>
      </c>
      <c r="R22" s="2">
        <f t="shared" si="10"/>
        <v>0.48</v>
      </c>
      <c r="S22" s="2">
        <f t="shared" si="11"/>
        <v>0</v>
      </c>
      <c r="T22" s="2">
        <f t="shared" si="12"/>
        <v>-0.27</v>
      </c>
      <c r="U22" s="2">
        <f t="shared" si="13"/>
        <v>0.27</v>
      </c>
      <c r="V22" s="2">
        <f t="shared" si="14"/>
        <v>-0.41</v>
      </c>
      <c r="W22" s="2">
        <f t="shared" si="15"/>
        <v>0.41</v>
      </c>
      <c r="X22" s="1"/>
    </row>
    <row r="23" spans="1:32" ht="20.100000000000001" customHeight="1" x14ac:dyDescent="0.25">
      <c r="A23" s="43">
        <f>IF(ISBLANK('Исходные данные'!C22),"",'Исходные данные'!A22)</f>
        <v>4</v>
      </c>
      <c r="B23" s="51">
        <f>IF(ISBLANK('Исходные данные'!B22),"",'Исходные данные'!B22)</f>
        <v>42383</v>
      </c>
      <c r="C23" s="52">
        <f>IF(ISBLANK('Исходные данные'!C22),"",'Исходные данные'!C22)</f>
        <v>1.5900000000000001E-2</v>
      </c>
      <c r="D23" s="52">
        <f>IF(ISBLANK('Исходные данные'!D22),"",'Исходные данные'!D22)</f>
        <v>1.7899999999999999E-2</v>
      </c>
      <c r="E23" s="35">
        <f t="shared" si="0"/>
        <v>1.6899999999999998E-2</v>
      </c>
      <c r="F23" s="34">
        <f t="shared" si="1"/>
        <v>0.1183431952662721</v>
      </c>
      <c r="G23" s="35">
        <f t="shared" si="16"/>
        <v>3.0030030030030061E-2</v>
      </c>
      <c r="H23" s="35">
        <f t="shared" si="2"/>
        <v>0.12666666666666659</v>
      </c>
      <c r="I23" s="34" t="str">
        <f t="shared" si="3"/>
        <v>—</v>
      </c>
      <c r="J23" s="34" t="str">
        <f t="shared" si="17"/>
        <v>—</v>
      </c>
      <c r="K23" s="139" t="str">
        <f t="shared" si="4"/>
        <v>—</v>
      </c>
      <c r="L23" s="149"/>
      <c r="M23" s="7">
        <f t="shared" si="5"/>
        <v>0.15</v>
      </c>
      <c r="N23" s="2">
        <f t="shared" si="6"/>
        <v>0.37</v>
      </c>
      <c r="O23" s="2">
        <f t="shared" si="7"/>
        <v>0.48</v>
      </c>
      <c r="P23" s="2">
        <f t="shared" si="8"/>
        <v>0.15</v>
      </c>
      <c r="Q23" s="2">
        <f t="shared" si="9"/>
        <v>0.37</v>
      </c>
      <c r="R23" s="2">
        <f t="shared" si="10"/>
        <v>0.48</v>
      </c>
      <c r="S23" s="2">
        <f t="shared" si="11"/>
        <v>0</v>
      </c>
      <c r="T23" s="2">
        <f t="shared" si="12"/>
        <v>-0.27</v>
      </c>
      <c r="U23" s="2">
        <f t="shared" si="13"/>
        <v>0.27</v>
      </c>
      <c r="V23" s="2">
        <f t="shared" si="14"/>
        <v>-0.41</v>
      </c>
      <c r="W23" s="2">
        <f t="shared" si="15"/>
        <v>0.41</v>
      </c>
      <c r="X23" s="1"/>
    </row>
    <row r="24" spans="1:32" ht="20.100000000000001" customHeight="1" x14ac:dyDescent="0.25">
      <c r="A24" s="43">
        <f>IF(ISBLANK('Исходные данные'!C23),"",'Исходные данные'!A23)</f>
        <v>5</v>
      </c>
      <c r="B24" s="51">
        <f>IF(ISBLANK('Исходные данные'!B23),"",'Исходные данные'!B23)</f>
        <v>42384</v>
      </c>
      <c r="C24" s="52">
        <f>IF(ISBLANK('Исходные данные'!C23),"",'Исходные данные'!C23)</f>
        <v>1.7100000000000001E-2</v>
      </c>
      <c r="D24" s="52">
        <f>IF(ISBLANK('Исходные данные'!D23),"",'Исходные данные'!D23)</f>
        <v>1.6899999999999998E-2</v>
      </c>
      <c r="E24" s="35">
        <f t="shared" si="0"/>
        <v>1.7000000000000001E-2</v>
      </c>
      <c r="F24" s="34">
        <f t="shared" si="1"/>
        <v>1.1764705882353073E-2</v>
      </c>
      <c r="G24" s="35">
        <f t="shared" si="16"/>
        <v>5.8997050147494316E-3</v>
      </c>
      <c r="H24" s="35">
        <f t="shared" si="2"/>
        <v>0.13333333333333347</v>
      </c>
      <c r="I24" s="34" t="str">
        <f t="shared" si="3"/>
        <v>—</v>
      </c>
      <c r="J24" s="34" t="str">
        <f t="shared" si="17"/>
        <v>—</v>
      </c>
      <c r="K24" s="139" t="str">
        <f t="shared" si="4"/>
        <v>—</v>
      </c>
      <c r="L24" s="149"/>
      <c r="M24" s="7">
        <f t="shared" si="5"/>
        <v>0.15</v>
      </c>
      <c r="N24" s="2">
        <f t="shared" si="6"/>
        <v>0.37</v>
      </c>
      <c r="O24" s="2">
        <f t="shared" si="7"/>
        <v>0.48</v>
      </c>
      <c r="P24" s="2">
        <f t="shared" si="8"/>
        <v>0.15</v>
      </c>
      <c r="Q24" s="2">
        <f t="shared" si="9"/>
        <v>0.37</v>
      </c>
      <c r="R24" s="2">
        <f t="shared" si="10"/>
        <v>0.48</v>
      </c>
      <c r="S24" s="2">
        <f t="shared" si="11"/>
        <v>0</v>
      </c>
      <c r="T24" s="2">
        <f t="shared" si="12"/>
        <v>-0.27</v>
      </c>
      <c r="U24" s="2">
        <f t="shared" si="13"/>
        <v>0.27</v>
      </c>
      <c r="V24" s="2">
        <f t="shared" si="14"/>
        <v>-0.41</v>
      </c>
      <c r="W24" s="2">
        <f t="shared" si="15"/>
        <v>0.41</v>
      </c>
      <c r="X24" s="1"/>
    </row>
    <row r="25" spans="1:32" ht="20.100000000000001" customHeight="1" x14ac:dyDescent="0.25">
      <c r="A25" s="43">
        <f>IF(ISBLANK('Исходные данные'!C24),"",'Исходные данные'!A24)</f>
        <v>6</v>
      </c>
      <c r="B25" s="51">
        <f>IF(ISBLANK('Исходные данные'!B24),"",'Исходные данные'!B24)</f>
        <v>42385</v>
      </c>
      <c r="C25" s="52">
        <f>IF(ISBLANK('Исходные данные'!C24),"",'Исходные данные'!C24)</f>
        <v>1.4999999999999999E-2</v>
      </c>
      <c r="D25" s="52">
        <f>IF(ISBLANK('Исходные данные'!D24),"",'Исходные данные'!D24)</f>
        <v>1.44E-2</v>
      </c>
      <c r="E25" s="35">
        <f t="shared" si="0"/>
        <v>1.47E-2</v>
      </c>
      <c r="F25" s="34">
        <f t="shared" si="1"/>
        <v>4.0816326530612235E-2</v>
      </c>
      <c r="G25" s="35">
        <f t="shared" si="16"/>
        <v>0.14511041009463735</v>
      </c>
      <c r="H25" s="35">
        <f t="shared" si="2"/>
        <v>-1.9999999999999997E-2</v>
      </c>
      <c r="I25" s="34" t="str">
        <f t="shared" si="3"/>
        <v>—</v>
      </c>
      <c r="J25" s="34" t="str">
        <f t="shared" si="17"/>
        <v>—</v>
      </c>
      <c r="K25" s="139" t="str">
        <f t="shared" si="4"/>
        <v>—</v>
      </c>
      <c r="L25" s="149"/>
      <c r="M25" s="7">
        <f t="shared" si="5"/>
        <v>0.15</v>
      </c>
      <c r="N25" s="2">
        <f t="shared" si="6"/>
        <v>0.37</v>
      </c>
      <c r="O25" s="2">
        <f t="shared" si="7"/>
        <v>0.48</v>
      </c>
      <c r="P25" s="2">
        <f t="shared" si="8"/>
        <v>0.15</v>
      </c>
      <c r="Q25" s="2">
        <f t="shared" si="9"/>
        <v>0.37</v>
      </c>
      <c r="R25" s="2">
        <f t="shared" si="10"/>
        <v>0.48</v>
      </c>
      <c r="S25" s="2">
        <f t="shared" si="11"/>
        <v>0</v>
      </c>
      <c r="T25" s="2">
        <f t="shared" si="12"/>
        <v>-0.27</v>
      </c>
      <c r="U25" s="2">
        <f t="shared" si="13"/>
        <v>0.27</v>
      </c>
      <c r="V25" s="2">
        <f t="shared" si="14"/>
        <v>-0.41</v>
      </c>
      <c r="W25" s="2">
        <f t="shared" si="15"/>
        <v>0.41</v>
      </c>
      <c r="X25" s="1"/>
    </row>
    <row r="26" spans="1:32" ht="20.100000000000001" customHeight="1" x14ac:dyDescent="0.25">
      <c r="A26" s="43">
        <f>IF(ISBLANK('Исходные данные'!C25),"",'Исходные данные'!A25)</f>
        <v>7</v>
      </c>
      <c r="B26" s="51">
        <f>IF(ISBLANK('Исходные данные'!B25),"",'Исходные данные'!B25)</f>
        <v>42386</v>
      </c>
      <c r="C26" s="52">
        <f>IF(ISBLANK('Исходные данные'!C25),"",'Исходные данные'!C25)</f>
        <v>1.7500000000000002E-2</v>
      </c>
      <c r="D26" s="52">
        <f>IF(ISBLANK('Исходные данные'!D25),"",'Исходные данные'!D25)</f>
        <v>1.8499999999999999E-2</v>
      </c>
      <c r="E26" s="35">
        <f t="shared" si="0"/>
        <v>1.8000000000000002E-2</v>
      </c>
      <c r="F26" s="34">
        <f t="shared" si="1"/>
        <v>5.5555555555555407E-2</v>
      </c>
      <c r="G26" s="35">
        <f t="shared" si="16"/>
        <v>0.20183486238532125</v>
      </c>
      <c r="H26" s="35">
        <f t="shared" si="2"/>
        <v>0.20000000000000018</v>
      </c>
      <c r="I26" s="34" t="str">
        <f t="shared" si="3"/>
        <v>—</v>
      </c>
      <c r="J26" s="34" t="str">
        <f t="shared" si="17"/>
        <v>—</v>
      </c>
      <c r="K26" s="139" t="str">
        <f t="shared" si="4"/>
        <v>—</v>
      </c>
      <c r="L26" s="149"/>
      <c r="M26" s="7">
        <f t="shared" si="5"/>
        <v>0.15</v>
      </c>
      <c r="N26" s="2">
        <f t="shared" si="6"/>
        <v>0.37</v>
      </c>
      <c r="O26" s="2">
        <f t="shared" si="7"/>
        <v>0.48</v>
      </c>
      <c r="P26" s="2">
        <f t="shared" si="8"/>
        <v>0.15</v>
      </c>
      <c r="Q26" s="2">
        <f t="shared" si="9"/>
        <v>0.37</v>
      </c>
      <c r="R26" s="2">
        <f t="shared" si="10"/>
        <v>0.48</v>
      </c>
      <c r="S26" s="2">
        <f t="shared" si="11"/>
        <v>0</v>
      </c>
      <c r="T26" s="2">
        <f t="shared" si="12"/>
        <v>-0.27</v>
      </c>
      <c r="U26" s="2">
        <f t="shared" si="13"/>
        <v>0.27</v>
      </c>
      <c r="V26" s="2">
        <f t="shared" si="14"/>
        <v>-0.41</v>
      </c>
      <c r="W26" s="2">
        <f t="shared" si="15"/>
        <v>0.41</v>
      </c>
      <c r="X26" s="1"/>
    </row>
    <row r="27" spans="1:32" ht="20.100000000000001" customHeight="1" x14ac:dyDescent="0.25">
      <c r="A27" s="43">
        <f>IF(ISBLANK('Исходные данные'!C26),"",'Исходные данные'!A26)</f>
        <v>8</v>
      </c>
      <c r="B27" s="51">
        <f>IF(ISBLANK('Исходные данные'!B26),"",'Исходные данные'!B26)</f>
        <v>42387</v>
      </c>
      <c r="C27" s="52">
        <f>IF(ISBLANK('Исходные данные'!C26),"",'Исходные данные'!C26)</f>
        <v>1.2200000000000001E-2</v>
      </c>
      <c r="D27" s="52">
        <f>IF(ISBLANK('Исходные данные'!D26),"",'Исходные данные'!D26)</f>
        <v>1.4800000000000001E-2</v>
      </c>
      <c r="E27" s="35">
        <f t="shared" si="0"/>
        <v>1.3500000000000002E-2</v>
      </c>
      <c r="F27" s="34">
        <f t="shared" si="1"/>
        <v>0.19259259259259257</v>
      </c>
      <c r="G27" s="35">
        <f t="shared" si="16"/>
        <v>0.28571428571428575</v>
      </c>
      <c r="H27" s="35">
        <f t="shared" si="2"/>
        <v>-9.9999999999999867E-2</v>
      </c>
      <c r="I27" s="34" t="str">
        <f t="shared" si="3"/>
        <v>—</v>
      </c>
      <c r="J27" s="34" t="str">
        <f t="shared" si="17"/>
        <v>—</v>
      </c>
      <c r="K27" s="139" t="str">
        <f t="shared" si="4"/>
        <v>—</v>
      </c>
      <c r="L27" s="149"/>
      <c r="M27" s="7">
        <f t="shared" si="5"/>
        <v>0.15</v>
      </c>
      <c r="N27" s="2">
        <f t="shared" si="6"/>
        <v>0.37</v>
      </c>
      <c r="O27" s="2">
        <f t="shared" si="7"/>
        <v>0.48</v>
      </c>
      <c r="P27" s="2">
        <f t="shared" si="8"/>
        <v>0.15</v>
      </c>
      <c r="Q27" s="2">
        <f t="shared" si="9"/>
        <v>0.37</v>
      </c>
      <c r="R27" s="2">
        <f t="shared" si="10"/>
        <v>0.48</v>
      </c>
      <c r="S27" s="2">
        <f t="shared" si="11"/>
        <v>0</v>
      </c>
      <c r="T27" s="2">
        <f t="shared" si="12"/>
        <v>-0.27</v>
      </c>
      <c r="U27" s="2">
        <f t="shared" si="13"/>
        <v>0.27</v>
      </c>
      <c r="V27" s="2">
        <f t="shared" si="14"/>
        <v>-0.41</v>
      </c>
      <c r="W27" s="2">
        <f t="shared" si="15"/>
        <v>0.41</v>
      </c>
      <c r="X27" s="1"/>
    </row>
    <row r="28" spans="1:32" ht="20.100000000000001" customHeight="1" x14ac:dyDescent="0.25">
      <c r="A28" s="43">
        <f>IF(ISBLANK('Исходные данные'!C27),"",'Исходные данные'!A27)</f>
        <v>9</v>
      </c>
      <c r="B28" s="51">
        <f>IF(ISBLANK('Исходные данные'!B27),"",'Исходные данные'!B27)</f>
        <v>42388</v>
      </c>
      <c r="C28" s="52">
        <f>IF(ISBLANK('Исходные данные'!C27),"",'Исходные данные'!C27)</f>
        <v>1.38E-2</v>
      </c>
      <c r="D28" s="52">
        <f>IF(ISBLANK('Исходные данные'!D27),"",'Исходные данные'!D27)</f>
        <v>1.2E-2</v>
      </c>
      <c r="E28" s="35">
        <f t="shared" si="0"/>
        <v>1.29E-2</v>
      </c>
      <c r="F28" s="34">
        <f t="shared" si="1"/>
        <v>0.1395348837209302</v>
      </c>
      <c r="G28" s="35">
        <f t="shared" si="16"/>
        <v>4.5454545454545574E-2</v>
      </c>
      <c r="H28" s="35">
        <f t="shared" si="2"/>
        <v>-0.13999999999999996</v>
      </c>
      <c r="I28" s="34" t="str">
        <f t="shared" si="3"/>
        <v>—</v>
      </c>
      <c r="J28" s="34" t="str">
        <f t="shared" si="17"/>
        <v>—</v>
      </c>
      <c r="K28" s="139" t="str">
        <f t="shared" si="4"/>
        <v>—</v>
      </c>
      <c r="L28" s="149"/>
      <c r="M28" s="7">
        <f t="shared" si="5"/>
        <v>0.15</v>
      </c>
      <c r="N28" s="2">
        <f t="shared" si="6"/>
        <v>0.37</v>
      </c>
      <c r="O28" s="2">
        <f t="shared" si="7"/>
        <v>0.48</v>
      </c>
      <c r="P28" s="2">
        <f t="shared" si="8"/>
        <v>0.15</v>
      </c>
      <c r="Q28" s="2">
        <f t="shared" si="9"/>
        <v>0.37</v>
      </c>
      <c r="R28" s="2">
        <f t="shared" si="10"/>
        <v>0.48</v>
      </c>
      <c r="S28" s="2">
        <f t="shared" si="11"/>
        <v>0</v>
      </c>
      <c r="T28" s="2">
        <f t="shared" si="12"/>
        <v>-0.27</v>
      </c>
      <c r="U28" s="2">
        <f t="shared" si="13"/>
        <v>0.27</v>
      </c>
      <c r="V28" s="2">
        <f t="shared" si="14"/>
        <v>-0.41</v>
      </c>
      <c r="W28" s="2">
        <f t="shared" si="15"/>
        <v>0.41</v>
      </c>
      <c r="X28" s="1"/>
    </row>
    <row r="29" spans="1:32" ht="20.100000000000001" customHeight="1" x14ac:dyDescent="0.25">
      <c r="A29" s="43">
        <f>IF(ISBLANK('Исходные данные'!C28),"",'Исходные данные'!A28)</f>
        <v>10</v>
      </c>
      <c r="B29" s="51">
        <f>IF(ISBLANK('Исходные данные'!B28),"",'Исходные данные'!B28)</f>
        <v>42389</v>
      </c>
      <c r="C29" s="52">
        <f>IF(ISBLANK('Исходные данные'!C28),"",'Исходные данные'!C28)</f>
        <v>7.6E-3</v>
      </c>
      <c r="D29" s="52">
        <f>IF(ISBLANK('Исходные данные'!D28),"",'Исходные данные'!D28)</f>
        <v>1.2500000000000001E-2</v>
      </c>
      <c r="E29" s="35">
        <f t="shared" si="0"/>
        <v>1.005E-2</v>
      </c>
      <c r="F29" s="34">
        <f t="shared" si="1"/>
        <v>0.48756218905472642</v>
      </c>
      <c r="G29" s="35">
        <f t="shared" si="16"/>
        <v>0.24836601307189546</v>
      </c>
      <c r="H29" s="35">
        <f t="shared" si="2"/>
        <v>-0.32999999999999996</v>
      </c>
      <c r="I29" s="34" t="str">
        <f t="shared" si="3"/>
        <v>Сверх предела действия</v>
      </c>
      <c r="J29" s="34" t="str">
        <f t="shared" si="17"/>
        <v>—</v>
      </c>
      <c r="K29" s="139" t="str">
        <f t="shared" si="4"/>
        <v>Сверх предела предупреждения</v>
      </c>
      <c r="L29" s="149"/>
      <c r="M29" s="7">
        <f t="shared" si="5"/>
        <v>0.15</v>
      </c>
      <c r="N29" s="2">
        <f t="shared" si="6"/>
        <v>0.37</v>
      </c>
      <c r="O29" s="2">
        <f t="shared" si="7"/>
        <v>0.48</v>
      </c>
      <c r="P29" s="2">
        <f t="shared" si="8"/>
        <v>0.15</v>
      </c>
      <c r="Q29" s="2">
        <f t="shared" si="9"/>
        <v>0.37</v>
      </c>
      <c r="R29" s="2">
        <f t="shared" si="10"/>
        <v>0.48</v>
      </c>
      <c r="S29" s="2">
        <f t="shared" si="11"/>
        <v>0</v>
      </c>
      <c r="T29" s="2">
        <f t="shared" si="12"/>
        <v>-0.27</v>
      </c>
      <c r="U29" s="2">
        <f t="shared" si="13"/>
        <v>0.27</v>
      </c>
      <c r="V29" s="2">
        <f t="shared" si="14"/>
        <v>-0.41</v>
      </c>
      <c r="W29" s="2">
        <f t="shared" si="15"/>
        <v>0.41</v>
      </c>
      <c r="X29" s="1"/>
    </row>
    <row r="30" spans="1:32" ht="20.100000000000001" customHeight="1" x14ac:dyDescent="0.25">
      <c r="A30" s="43">
        <f>IF(ISBLANK('Исходные данные'!C29),"",'Исходные данные'!A29)</f>
        <v>11</v>
      </c>
      <c r="B30" s="51">
        <f>IF(ISBLANK('Исходные данные'!B29),"",'Исходные данные'!B29)</f>
        <v>42390</v>
      </c>
      <c r="C30" s="52">
        <f>IF(ISBLANK('Исходные данные'!C29),"",'Исходные данные'!C29)</f>
        <v>1.2500000000000001E-2</v>
      </c>
      <c r="D30" s="52">
        <f>IF(ISBLANK('Исходные данные'!D29),"",'Исходные данные'!D29)</f>
        <v>1.35E-2</v>
      </c>
      <c r="E30" s="35">
        <f t="shared" si="0"/>
        <v>1.3000000000000001E-2</v>
      </c>
      <c r="F30" s="34">
        <f t="shared" si="1"/>
        <v>7.6923076923076858E-2</v>
      </c>
      <c r="G30" s="35">
        <f t="shared" si="16"/>
        <v>0.25596529284164871</v>
      </c>
      <c r="H30" s="35">
        <f t="shared" si="2"/>
        <v>-0.13333333333333322</v>
      </c>
      <c r="I30" s="34" t="str">
        <f t="shared" si="3"/>
        <v>—</v>
      </c>
      <c r="J30" s="34" t="str">
        <f t="shared" si="17"/>
        <v>—</v>
      </c>
      <c r="K30" s="139" t="str">
        <f t="shared" si="4"/>
        <v>—</v>
      </c>
      <c r="L30" s="149"/>
      <c r="M30" s="7">
        <f t="shared" si="5"/>
        <v>0.15</v>
      </c>
      <c r="N30" s="2">
        <f t="shared" si="6"/>
        <v>0.37</v>
      </c>
      <c r="O30" s="2">
        <f t="shared" si="7"/>
        <v>0.48</v>
      </c>
      <c r="P30" s="2">
        <f t="shared" si="8"/>
        <v>0.15</v>
      </c>
      <c r="Q30" s="2">
        <f t="shared" si="9"/>
        <v>0.37</v>
      </c>
      <c r="R30" s="2">
        <f t="shared" si="10"/>
        <v>0.48</v>
      </c>
      <c r="S30" s="2">
        <f t="shared" si="11"/>
        <v>0</v>
      </c>
      <c r="T30" s="2">
        <f t="shared" si="12"/>
        <v>-0.27</v>
      </c>
      <c r="U30" s="2">
        <f t="shared" si="13"/>
        <v>0.27</v>
      </c>
      <c r="V30" s="2">
        <f t="shared" si="14"/>
        <v>-0.41</v>
      </c>
      <c r="W30" s="2">
        <f t="shared" si="15"/>
        <v>0.41</v>
      </c>
      <c r="X30" s="1"/>
    </row>
    <row r="31" spans="1:32" ht="20.100000000000001" customHeight="1" x14ac:dyDescent="0.25">
      <c r="A31" s="43">
        <f>IF(ISBLANK('Исходные данные'!C30),"",'Исходные данные'!A30)</f>
        <v>12</v>
      </c>
      <c r="B31" s="51">
        <f>IF(ISBLANK('Исходные данные'!B30),"",'Исходные данные'!B30)</f>
        <v>42391</v>
      </c>
      <c r="C31" s="52">
        <f>IF(ISBLANK('Исходные данные'!C30),"",'Исходные данные'!C30)</f>
        <v>1.7999999999999999E-2</v>
      </c>
      <c r="D31" s="52">
        <f>IF(ISBLANK('Исходные данные'!D30),"",'Исходные данные'!D30)</f>
        <v>2.1000000000000001E-2</v>
      </c>
      <c r="E31" s="35">
        <f t="shared" si="0"/>
        <v>1.95E-2</v>
      </c>
      <c r="F31" s="34">
        <f t="shared" si="1"/>
        <v>0.15384615384615399</v>
      </c>
      <c r="G31" s="35">
        <f t="shared" si="16"/>
        <v>0.39999999999999991</v>
      </c>
      <c r="H31" s="35">
        <f t="shared" si="2"/>
        <v>0.30000000000000004</v>
      </c>
      <c r="I31" s="34" t="str">
        <f t="shared" si="3"/>
        <v>—</v>
      </c>
      <c r="J31" s="34" t="str">
        <f t="shared" si="17"/>
        <v>Сверх предела предупреждения</v>
      </c>
      <c r="K31" s="139" t="str">
        <f t="shared" si="4"/>
        <v>Сверх предела предупреждения</v>
      </c>
      <c r="L31" s="149"/>
      <c r="M31" s="7">
        <f t="shared" si="5"/>
        <v>0.15</v>
      </c>
      <c r="N31" s="2">
        <f t="shared" si="6"/>
        <v>0.37</v>
      </c>
      <c r="O31" s="2">
        <f t="shared" si="7"/>
        <v>0.48</v>
      </c>
      <c r="P31" s="2">
        <f t="shared" si="8"/>
        <v>0.15</v>
      </c>
      <c r="Q31" s="2">
        <f t="shared" si="9"/>
        <v>0.37</v>
      </c>
      <c r="R31" s="2">
        <f t="shared" si="10"/>
        <v>0.48</v>
      </c>
      <c r="S31" s="2">
        <f t="shared" si="11"/>
        <v>0</v>
      </c>
      <c r="T31" s="2">
        <f t="shared" si="12"/>
        <v>-0.27</v>
      </c>
      <c r="U31" s="2">
        <f t="shared" si="13"/>
        <v>0.27</v>
      </c>
      <c r="V31" s="2">
        <f t="shared" si="14"/>
        <v>-0.41</v>
      </c>
      <c r="W31" s="2">
        <f t="shared" si="15"/>
        <v>0.41</v>
      </c>
      <c r="X31" s="1"/>
    </row>
    <row r="32" spans="1:32" ht="20.100000000000001" customHeight="1" x14ac:dyDescent="0.25">
      <c r="A32" s="43">
        <f>IF(ISBLANK('Исходные данные'!C31),"",'Исходные данные'!A31)</f>
        <v>13</v>
      </c>
      <c r="B32" s="51">
        <f>IF(ISBLANK('Исходные данные'!B31),"",'Исходные данные'!B31)</f>
        <v>42392</v>
      </c>
      <c r="C32" s="52">
        <f>IF(ISBLANK('Исходные данные'!C31),"",'Исходные данные'!C31)</f>
        <v>1.5100000000000001E-2</v>
      </c>
      <c r="D32" s="52">
        <f>IF(ISBLANK('Исходные данные'!D31),"",'Исходные данные'!D31)</f>
        <v>1.47E-2</v>
      </c>
      <c r="E32" s="35">
        <f t="shared" si="0"/>
        <v>1.49E-2</v>
      </c>
      <c r="F32" s="34">
        <f t="shared" si="1"/>
        <v>2.6845637583892686E-2</v>
      </c>
      <c r="G32" s="35">
        <f t="shared" si="16"/>
        <v>0.26744186046511625</v>
      </c>
      <c r="H32" s="35">
        <f t="shared" si="2"/>
        <v>-6.6666666666666263E-3</v>
      </c>
      <c r="I32" s="34" t="str">
        <f t="shared" si="3"/>
        <v>—</v>
      </c>
      <c r="J32" s="34" t="str">
        <f t="shared" si="17"/>
        <v>—</v>
      </c>
      <c r="K32" s="139" t="str">
        <f t="shared" si="4"/>
        <v>—</v>
      </c>
      <c r="L32" s="149"/>
      <c r="M32" s="7">
        <f t="shared" si="5"/>
        <v>0.15</v>
      </c>
      <c r="N32" s="2">
        <f t="shared" si="6"/>
        <v>0.37</v>
      </c>
      <c r="O32" s="2">
        <f t="shared" si="7"/>
        <v>0.48</v>
      </c>
      <c r="P32" s="2">
        <f t="shared" si="8"/>
        <v>0.15</v>
      </c>
      <c r="Q32" s="2">
        <f t="shared" si="9"/>
        <v>0.37</v>
      </c>
      <c r="R32" s="2">
        <f t="shared" si="10"/>
        <v>0.48</v>
      </c>
      <c r="S32" s="2">
        <f t="shared" si="11"/>
        <v>0</v>
      </c>
      <c r="T32" s="2">
        <f t="shared" si="12"/>
        <v>-0.27</v>
      </c>
      <c r="U32" s="2">
        <f t="shared" si="13"/>
        <v>0.27</v>
      </c>
      <c r="V32" s="2">
        <f t="shared" si="14"/>
        <v>-0.41</v>
      </c>
      <c r="W32" s="2">
        <f t="shared" si="15"/>
        <v>0.41</v>
      </c>
      <c r="X32" s="1"/>
    </row>
    <row r="33" spans="1:24" ht="20.100000000000001" customHeight="1" x14ac:dyDescent="0.25">
      <c r="A33" s="43">
        <f>IF(ISBLANK('Исходные данные'!C32),"",'Исходные данные'!A32)</f>
        <v>14</v>
      </c>
      <c r="B33" s="51">
        <f>IF(ISBLANK('Исходные данные'!B32),"",'Исходные данные'!B32)</f>
        <v>42393</v>
      </c>
      <c r="C33" s="52">
        <f>IF(ISBLANK('Исходные данные'!C32),"",'Исходные данные'!C32)</f>
        <v>1.7600000000000001E-2</v>
      </c>
      <c r="D33" s="52">
        <f>IF(ISBLANK('Исходные данные'!D32),"",'Исходные данные'!D32)</f>
        <v>1.4999999999999999E-2</v>
      </c>
      <c r="E33" s="35">
        <f t="shared" si="0"/>
        <v>1.6300000000000002E-2</v>
      </c>
      <c r="F33" s="34">
        <f t="shared" si="1"/>
        <v>0.15950920245398781</v>
      </c>
      <c r="G33" s="35">
        <f t="shared" si="16"/>
        <v>8.9743589743589869E-2</v>
      </c>
      <c r="H33" s="35">
        <f t="shared" si="2"/>
        <v>8.6666666666666836E-2</v>
      </c>
      <c r="I33" s="34" t="str">
        <f t="shared" si="3"/>
        <v>—</v>
      </c>
      <c r="J33" s="34" t="str">
        <f t="shared" si="17"/>
        <v>—</v>
      </c>
      <c r="K33" s="139" t="str">
        <f t="shared" si="4"/>
        <v>—</v>
      </c>
      <c r="L33" s="149"/>
      <c r="M33" s="7">
        <f t="shared" si="5"/>
        <v>0.15</v>
      </c>
      <c r="N33" s="2">
        <f t="shared" si="6"/>
        <v>0.37</v>
      </c>
      <c r="O33" s="2">
        <f t="shared" si="7"/>
        <v>0.48</v>
      </c>
      <c r="P33" s="2">
        <f t="shared" si="8"/>
        <v>0.15</v>
      </c>
      <c r="Q33" s="2">
        <f t="shared" si="9"/>
        <v>0.37</v>
      </c>
      <c r="R33" s="2">
        <f t="shared" si="10"/>
        <v>0.48</v>
      </c>
      <c r="S33" s="2">
        <f t="shared" si="11"/>
        <v>0</v>
      </c>
      <c r="T33" s="2">
        <f t="shared" si="12"/>
        <v>-0.27</v>
      </c>
      <c r="U33" s="2">
        <f t="shared" si="13"/>
        <v>0.27</v>
      </c>
      <c r="V33" s="2">
        <f t="shared" si="14"/>
        <v>-0.41</v>
      </c>
      <c r="W33" s="2">
        <f t="shared" si="15"/>
        <v>0.41</v>
      </c>
      <c r="X33" s="1"/>
    </row>
    <row r="34" spans="1:24" ht="20.100000000000001" customHeight="1" x14ac:dyDescent="0.25">
      <c r="A34" s="43">
        <f>IF(ISBLANK('Исходные данные'!C33),"",'Исходные данные'!A33)</f>
        <v>15</v>
      </c>
      <c r="B34" s="51">
        <f>IF(ISBLANK('Исходные данные'!B33),"",'Исходные данные'!B33)</f>
        <v>42394</v>
      </c>
      <c r="C34" s="52">
        <f>IF(ISBLANK('Исходные данные'!C33),"",'Исходные данные'!C33)</f>
        <v>1.55E-2</v>
      </c>
      <c r="D34" s="52">
        <f>IF(ISBLANK('Исходные данные'!D33),"",'Исходные данные'!D33)</f>
        <v>1.67E-2</v>
      </c>
      <c r="E34" s="35">
        <f t="shared" si="0"/>
        <v>1.61E-2</v>
      </c>
      <c r="F34" s="34">
        <f t="shared" si="1"/>
        <v>7.4534161490683218E-2</v>
      </c>
      <c r="G34" s="35">
        <f t="shared" si="16"/>
        <v>1.2345679012345819E-2</v>
      </c>
      <c r="H34" s="35">
        <f t="shared" si="2"/>
        <v>7.3333333333333361E-2</v>
      </c>
      <c r="I34" s="34" t="str">
        <f t="shared" si="3"/>
        <v>—</v>
      </c>
      <c r="J34" s="34" t="str">
        <f t="shared" si="17"/>
        <v>—</v>
      </c>
      <c r="K34" s="139" t="str">
        <f t="shared" si="4"/>
        <v>—</v>
      </c>
      <c r="L34" s="149"/>
      <c r="M34" s="7">
        <f t="shared" si="5"/>
        <v>0.15</v>
      </c>
      <c r="N34" s="2">
        <f t="shared" si="6"/>
        <v>0.37</v>
      </c>
      <c r="O34" s="2">
        <f t="shared" si="7"/>
        <v>0.48</v>
      </c>
      <c r="P34" s="2">
        <f t="shared" si="8"/>
        <v>0.15</v>
      </c>
      <c r="Q34" s="2">
        <f t="shared" si="9"/>
        <v>0.37</v>
      </c>
      <c r="R34" s="2">
        <f t="shared" si="10"/>
        <v>0.48</v>
      </c>
      <c r="S34" s="2">
        <f t="shared" si="11"/>
        <v>0</v>
      </c>
      <c r="T34" s="2">
        <f t="shared" si="12"/>
        <v>-0.27</v>
      </c>
      <c r="U34" s="2">
        <f t="shared" si="13"/>
        <v>0.27</v>
      </c>
      <c r="V34" s="2">
        <f t="shared" si="14"/>
        <v>-0.41</v>
      </c>
      <c r="W34" s="2">
        <f t="shared" si="15"/>
        <v>0.41</v>
      </c>
      <c r="X34" s="1"/>
    </row>
    <row r="35" spans="1:24" ht="20.100000000000001" customHeight="1" x14ac:dyDescent="0.25">
      <c r="A35" s="43">
        <f>IF(ISBLANK('Исходные данные'!C34),"",'Исходные данные'!A34)</f>
        <v>16</v>
      </c>
      <c r="B35" s="51">
        <f>IF(ISBLANK('Исходные данные'!B34),"",'Исходные данные'!B34)</f>
        <v>42395</v>
      </c>
      <c r="C35" s="52">
        <f>IF(ISBLANK('Исходные данные'!C34),"",'Исходные данные'!C34)</f>
        <v>1.5900000000000001E-2</v>
      </c>
      <c r="D35" s="52">
        <f>IF(ISBLANK('Исходные данные'!D34),"",'Исходные данные'!D34)</f>
        <v>1.5900000000000001E-2</v>
      </c>
      <c r="E35" s="35">
        <f t="shared" si="0"/>
        <v>1.5900000000000001E-2</v>
      </c>
      <c r="F35" s="34">
        <f t="shared" si="1"/>
        <v>0</v>
      </c>
      <c r="G35" s="35">
        <f t="shared" si="16"/>
        <v>1.2499999999999924E-2</v>
      </c>
      <c r="H35" s="35">
        <f t="shared" si="2"/>
        <v>6.0000000000000102E-2</v>
      </c>
      <c r="I35" s="34" t="str">
        <f t="shared" si="3"/>
        <v>—</v>
      </c>
      <c r="J35" s="34" t="str">
        <f t="shared" si="17"/>
        <v>—</v>
      </c>
      <c r="K35" s="139" t="str">
        <f t="shared" si="4"/>
        <v>—</v>
      </c>
      <c r="L35" s="149"/>
      <c r="M35" s="7">
        <f t="shared" si="5"/>
        <v>0.15</v>
      </c>
      <c r="N35" s="2">
        <f t="shared" si="6"/>
        <v>0.37</v>
      </c>
      <c r="O35" s="2">
        <f t="shared" si="7"/>
        <v>0.48</v>
      </c>
      <c r="P35" s="2">
        <f t="shared" si="8"/>
        <v>0.15</v>
      </c>
      <c r="Q35" s="2">
        <f t="shared" si="9"/>
        <v>0.37</v>
      </c>
      <c r="R35" s="2">
        <f t="shared" si="10"/>
        <v>0.48</v>
      </c>
      <c r="S35" s="2">
        <f t="shared" si="11"/>
        <v>0</v>
      </c>
      <c r="T35" s="2">
        <f t="shared" si="12"/>
        <v>-0.27</v>
      </c>
      <c r="U35" s="2">
        <f t="shared" si="13"/>
        <v>0.27</v>
      </c>
      <c r="V35" s="2">
        <f t="shared" si="14"/>
        <v>-0.41</v>
      </c>
      <c r="W35" s="2">
        <f t="shared" si="15"/>
        <v>0.41</v>
      </c>
      <c r="X35" s="1"/>
    </row>
    <row r="36" spans="1:24" ht="20.100000000000001" customHeight="1" x14ac:dyDescent="0.25">
      <c r="A36" s="43">
        <f>IF(ISBLANK('Исходные данные'!C35),"",'Исходные данные'!A35)</f>
        <v>17</v>
      </c>
      <c r="B36" s="51">
        <f>IF(ISBLANK('Исходные данные'!B35),"",'Исходные данные'!B35)</f>
        <v>42396</v>
      </c>
      <c r="C36" s="52">
        <f>IF(ISBLANK('Исходные данные'!C35),"",'Исходные данные'!C35)</f>
        <v>1.4999999999999999E-2</v>
      </c>
      <c r="D36" s="52">
        <f>IF(ISBLANK('Исходные данные'!D35),"",'Исходные данные'!D35)</f>
        <v>1.6199999999999999E-2</v>
      </c>
      <c r="E36" s="35">
        <f t="shared" si="0"/>
        <v>1.5599999999999999E-2</v>
      </c>
      <c r="F36" s="34">
        <f t="shared" si="1"/>
        <v>7.69230769230769E-2</v>
      </c>
      <c r="G36" s="35">
        <f t="shared" si="16"/>
        <v>1.9047619047619153E-2</v>
      </c>
      <c r="H36" s="35">
        <f t="shared" si="2"/>
        <v>3.9999999999999994E-2</v>
      </c>
      <c r="I36" s="34" t="str">
        <f t="shared" si="3"/>
        <v>—</v>
      </c>
      <c r="J36" s="34" t="str">
        <f t="shared" si="17"/>
        <v>—</v>
      </c>
      <c r="K36" s="139" t="str">
        <f t="shared" si="4"/>
        <v>—</v>
      </c>
      <c r="L36" s="149"/>
      <c r="M36" s="7">
        <f t="shared" si="5"/>
        <v>0.15</v>
      </c>
      <c r="N36" s="2">
        <f t="shared" si="6"/>
        <v>0.37</v>
      </c>
      <c r="O36" s="2">
        <f t="shared" si="7"/>
        <v>0.48</v>
      </c>
      <c r="P36" s="2">
        <f t="shared" si="8"/>
        <v>0.15</v>
      </c>
      <c r="Q36" s="2">
        <f t="shared" si="9"/>
        <v>0.37</v>
      </c>
      <c r="R36" s="2">
        <f t="shared" si="10"/>
        <v>0.48</v>
      </c>
      <c r="S36" s="2">
        <f t="shared" si="11"/>
        <v>0</v>
      </c>
      <c r="T36" s="2">
        <f t="shared" si="12"/>
        <v>-0.27</v>
      </c>
      <c r="U36" s="2">
        <f t="shared" si="13"/>
        <v>0.27</v>
      </c>
      <c r="V36" s="2">
        <f t="shared" si="14"/>
        <v>-0.41</v>
      </c>
      <c r="W36" s="2">
        <f t="shared" si="15"/>
        <v>0.41</v>
      </c>
      <c r="X36" s="1"/>
    </row>
    <row r="37" spans="1:24" ht="20.100000000000001" customHeight="1" x14ac:dyDescent="0.25">
      <c r="A37" s="43">
        <f>IF(ISBLANK('Исходные данные'!C36),"",'Исходные данные'!A36)</f>
        <v>18</v>
      </c>
      <c r="B37" s="51">
        <f>IF(ISBLANK('Исходные данные'!B36),"",'Исходные данные'!B36)</f>
        <v>42397</v>
      </c>
      <c r="C37" s="52">
        <f>IF(ISBLANK('Исходные данные'!C36),"",'Исходные данные'!C36)</f>
        <v>1.2999999999999999E-2</v>
      </c>
      <c r="D37" s="52">
        <f>IF(ISBLANK('Исходные данные'!D36),"",'Исходные данные'!D36)</f>
        <v>1.78E-2</v>
      </c>
      <c r="E37" s="35">
        <f t="shared" si="0"/>
        <v>1.54E-2</v>
      </c>
      <c r="F37" s="34">
        <f t="shared" si="1"/>
        <v>0.31168831168831168</v>
      </c>
      <c r="G37" s="35">
        <f t="shared" si="16"/>
        <v>1.2903225806451535E-2</v>
      </c>
      <c r="H37" s="35">
        <f t="shared" si="2"/>
        <v>2.6666666666666738E-2</v>
      </c>
      <c r="I37" s="34" t="str">
        <f t="shared" si="3"/>
        <v>—</v>
      </c>
      <c r="J37" s="34" t="str">
        <f t="shared" si="17"/>
        <v>—</v>
      </c>
      <c r="K37" s="139" t="str">
        <f t="shared" si="4"/>
        <v>—</v>
      </c>
      <c r="L37" s="149"/>
      <c r="M37" s="7">
        <f t="shared" si="5"/>
        <v>0.15</v>
      </c>
      <c r="N37" s="2">
        <f t="shared" si="6"/>
        <v>0.37</v>
      </c>
      <c r="O37" s="2">
        <f t="shared" si="7"/>
        <v>0.48</v>
      </c>
      <c r="P37" s="2">
        <f t="shared" si="8"/>
        <v>0.15</v>
      </c>
      <c r="Q37" s="2">
        <f t="shared" si="9"/>
        <v>0.37</v>
      </c>
      <c r="R37" s="2">
        <f t="shared" si="10"/>
        <v>0.48</v>
      </c>
      <c r="S37" s="2">
        <f t="shared" si="11"/>
        <v>0</v>
      </c>
      <c r="T37" s="2">
        <f t="shared" si="12"/>
        <v>-0.27</v>
      </c>
      <c r="U37" s="2">
        <f t="shared" si="13"/>
        <v>0.27</v>
      </c>
      <c r="V37" s="2">
        <f t="shared" si="14"/>
        <v>-0.41</v>
      </c>
      <c r="W37" s="2">
        <f t="shared" si="15"/>
        <v>0.41</v>
      </c>
      <c r="X37" s="1"/>
    </row>
    <row r="38" spans="1:24" ht="20.100000000000001" customHeight="1" x14ac:dyDescent="0.25">
      <c r="A38" s="43">
        <f>IF(ISBLANK('Исходные данные'!C37),"",'Исходные данные'!A37)</f>
        <v>19</v>
      </c>
      <c r="B38" s="51">
        <f>IF(ISBLANK('Исходные данные'!B37),"",'Исходные данные'!B37)</f>
        <v>42398</v>
      </c>
      <c r="C38" s="52">
        <f>IF(ISBLANK('Исходные данные'!C37),"",'Исходные данные'!C37)</f>
        <v>1.52E-2</v>
      </c>
      <c r="D38" s="52">
        <f>IF(ISBLANK('Исходные данные'!D37),"",'Исходные данные'!D37)</f>
        <v>1.4800000000000001E-2</v>
      </c>
      <c r="E38" s="35">
        <f t="shared" si="0"/>
        <v>1.4999999999999999E-2</v>
      </c>
      <c r="F38" s="34">
        <f t="shared" si="1"/>
        <v>2.6666666666666623E-2</v>
      </c>
      <c r="G38" s="35">
        <f t="shared" si="16"/>
        <v>2.6315789473684278E-2</v>
      </c>
      <c r="H38" s="35">
        <f t="shared" si="2"/>
        <v>0</v>
      </c>
      <c r="I38" s="34" t="str">
        <f t="shared" si="3"/>
        <v>—</v>
      </c>
      <c r="J38" s="34" t="str">
        <f t="shared" si="17"/>
        <v>—</v>
      </c>
      <c r="K38" s="139" t="str">
        <f t="shared" si="4"/>
        <v>—</v>
      </c>
      <c r="L38" s="149"/>
      <c r="M38" s="7">
        <f t="shared" si="5"/>
        <v>0.15</v>
      </c>
      <c r="N38" s="2">
        <f t="shared" si="6"/>
        <v>0.37</v>
      </c>
      <c r="O38" s="2">
        <f t="shared" si="7"/>
        <v>0.48</v>
      </c>
      <c r="P38" s="2">
        <f t="shared" si="8"/>
        <v>0.15</v>
      </c>
      <c r="Q38" s="2">
        <f t="shared" si="9"/>
        <v>0.37</v>
      </c>
      <c r="R38" s="2">
        <f t="shared" si="10"/>
        <v>0.48</v>
      </c>
      <c r="S38" s="2">
        <f t="shared" si="11"/>
        <v>0</v>
      </c>
      <c r="T38" s="2">
        <f t="shared" si="12"/>
        <v>-0.27</v>
      </c>
      <c r="U38" s="2">
        <f t="shared" si="13"/>
        <v>0.27</v>
      </c>
      <c r="V38" s="2">
        <f t="shared" si="14"/>
        <v>-0.41</v>
      </c>
      <c r="W38" s="2">
        <f t="shared" si="15"/>
        <v>0.41</v>
      </c>
      <c r="X38" s="1"/>
    </row>
    <row r="39" spans="1:24" ht="20.100000000000001" customHeight="1" x14ac:dyDescent="0.25">
      <c r="A39" s="43">
        <f>IF(ISBLANK('Исходные данные'!C38),"",'Исходные данные'!A38)</f>
        <v>20</v>
      </c>
      <c r="B39" s="51">
        <f>IF(ISBLANK('Исходные данные'!B38),"",'Исходные данные'!B38)</f>
        <v>42399</v>
      </c>
      <c r="C39" s="52">
        <f>IF(ISBLANK('Исходные данные'!C38),"",'Исходные данные'!C38)</f>
        <v>1.67E-2</v>
      </c>
      <c r="D39" s="52">
        <f>IF(ISBLANK('Исходные данные'!D38),"",'Исходные данные'!D38)</f>
        <v>1.23E-2</v>
      </c>
      <c r="E39" s="35">
        <f t="shared" si="0"/>
        <v>1.4499999999999999E-2</v>
      </c>
      <c r="F39" s="34">
        <f t="shared" si="1"/>
        <v>0.30344827586206896</v>
      </c>
      <c r="G39" s="35">
        <f t="shared" si="16"/>
        <v>3.3898305084745797E-2</v>
      </c>
      <c r="H39" s="35">
        <f t="shared" si="2"/>
        <v>-3.3333333333333368E-2</v>
      </c>
      <c r="I39" s="34" t="str">
        <f t="shared" si="3"/>
        <v>—</v>
      </c>
      <c r="J39" s="34" t="str">
        <f t="shared" si="17"/>
        <v>—</v>
      </c>
      <c r="K39" s="139" t="str">
        <f t="shared" si="4"/>
        <v>—</v>
      </c>
      <c r="L39" s="149"/>
      <c r="M39" s="7">
        <f t="shared" si="5"/>
        <v>0.15</v>
      </c>
      <c r="N39" s="2">
        <f t="shared" si="6"/>
        <v>0.37</v>
      </c>
      <c r="O39" s="2">
        <f t="shared" si="7"/>
        <v>0.48</v>
      </c>
      <c r="P39" s="2">
        <f t="shared" si="8"/>
        <v>0.15</v>
      </c>
      <c r="Q39" s="2">
        <f t="shared" si="9"/>
        <v>0.37</v>
      </c>
      <c r="R39" s="2">
        <f t="shared" si="10"/>
        <v>0.48</v>
      </c>
      <c r="S39" s="2">
        <f t="shared" si="11"/>
        <v>0</v>
      </c>
      <c r="T39" s="2">
        <f t="shared" si="12"/>
        <v>-0.27</v>
      </c>
      <c r="U39" s="2">
        <f t="shared" si="13"/>
        <v>0.27</v>
      </c>
      <c r="V39" s="2">
        <f t="shared" si="14"/>
        <v>-0.41</v>
      </c>
      <c r="W39" s="2">
        <f t="shared" si="15"/>
        <v>0.41</v>
      </c>
      <c r="X39" s="1"/>
    </row>
    <row r="40" spans="1:24" ht="20.100000000000001" customHeight="1" x14ac:dyDescent="0.25">
      <c r="A40" s="43">
        <f>IF(ISBLANK('Исходные данные'!C39),"",'Исходные данные'!A39)</f>
        <v>21</v>
      </c>
      <c r="B40" s="51">
        <f>IF(ISBLANK('Исходные данные'!B39),"",'Исходные данные'!B39)</f>
        <v>42400</v>
      </c>
      <c r="C40" s="52">
        <f>IF(ISBLANK('Исходные данные'!C39),"",'Исходные данные'!C39)</f>
        <v>1.67E-2</v>
      </c>
      <c r="D40" s="52">
        <f>IF(ISBLANK('Исходные данные'!D39),"",'Исходные данные'!D39)</f>
        <v>1.6899999999999998E-2</v>
      </c>
      <c r="E40" s="35">
        <f t="shared" si="0"/>
        <v>1.6799999999999999E-2</v>
      </c>
      <c r="F40" s="34">
        <f t="shared" si="1"/>
        <v>1.1904761904761833E-2</v>
      </c>
      <c r="G40" s="35">
        <f t="shared" si="16"/>
        <v>0.14696485623003197</v>
      </c>
      <c r="H40" s="35">
        <f t="shared" si="2"/>
        <v>0.11999999999999997</v>
      </c>
      <c r="I40" s="34" t="str">
        <f t="shared" si="3"/>
        <v>—</v>
      </c>
      <c r="J40" s="34" t="str">
        <f t="shared" si="17"/>
        <v>—</v>
      </c>
      <c r="K40" s="139" t="str">
        <f t="shared" si="4"/>
        <v>—</v>
      </c>
      <c r="L40" s="149"/>
      <c r="M40" s="7">
        <f t="shared" si="5"/>
        <v>0.15</v>
      </c>
      <c r="N40" s="2">
        <f t="shared" si="6"/>
        <v>0.37</v>
      </c>
      <c r="O40" s="2">
        <f t="shared" si="7"/>
        <v>0.48</v>
      </c>
      <c r="P40" s="2">
        <f t="shared" si="8"/>
        <v>0.15</v>
      </c>
      <c r="Q40" s="2">
        <f t="shared" si="9"/>
        <v>0.37</v>
      </c>
      <c r="R40" s="2">
        <f t="shared" si="10"/>
        <v>0.48</v>
      </c>
      <c r="S40" s="2">
        <f t="shared" si="11"/>
        <v>0</v>
      </c>
      <c r="T40" s="2">
        <f t="shared" si="12"/>
        <v>-0.27</v>
      </c>
      <c r="U40" s="2">
        <f t="shared" si="13"/>
        <v>0.27</v>
      </c>
      <c r="V40" s="2">
        <f t="shared" si="14"/>
        <v>-0.41</v>
      </c>
      <c r="W40" s="2">
        <f t="shared" si="15"/>
        <v>0.41</v>
      </c>
      <c r="X40" s="1"/>
    </row>
    <row r="41" spans="1:24" ht="20.100000000000001" customHeight="1" x14ac:dyDescent="0.25">
      <c r="A41" s="43">
        <f>IF(ISBLANK('Исходные данные'!C40),"",'Исходные данные'!A40)</f>
        <v>22</v>
      </c>
      <c r="B41" s="51">
        <f>IF(ISBLANK('Исходные данные'!B40),"",'Исходные данные'!B40)</f>
        <v>42401</v>
      </c>
      <c r="C41" s="52">
        <f>IF(ISBLANK('Исходные данные'!C40),"",'Исходные данные'!C40)</f>
        <v>1.4999999999999999E-2</v>
      </c>
      <c r="D41" s="52">
        <f>IF(ISBLANK('Исходные данные'!D40),"",'Исходные данные'!D40)</f>
        <v>1.2E-2</v>
      </c>
      <c r="E41" s="35">
        <f t="shared" si="0"/>
        <v>1.35E-2</v>
      </c>
      <c r="F41" s="34">
        <f t="shared" si="1"/>
        <v>0.22222222222222215</v>
      </c>
      <c r="G41" s="35">
        <f t="shared" si="16"/>
        <v>0.21782178217821777</v>
      </c>
      <c r="H41" s="35">
        <f t="shared" si="2"/>
        <v>-9.9999999999999978E-2</v>
      </c>
      <c r="I41" s="34" t="str">
        <f t="shared" si="3"/>
        <v>—</v>
      </c>
      <c r="J41" s="34" t="str">
        <f t="shared" si="17"/>
        <v>—</v>
      </c>
      <c r="K41" s="139" t="str">
        <f t="shared" si="4"/>
        <v>—</v>
      </c>
      <c r="L41" s="149"/>
      <c r="M41" s="7">
        <f t="shared" si="5"/>
        <v>0.15</v>
      </c>
      <c r="N41" s="2">
        <f t="shared" si="6"/>
        <v>0.37</v>
      </c>
      <c r="O41" s="2">
        <f t="shared" si="7"/>
        <v>0.48</v>
      </c>
      <c r="P41" s="2">
        <f t="shared" si="8"/>
        <v>0.15</v>
      </c>
      <c r="Q41" s="2">
        <f t="shared" si="9"/>
        <v>0.37</v>
      </c>
      <c r="R41" s="2">
        <f t="shared" si="10"/>
        <v>0.48</v>
      </c>
      <c r="S41" s="2">
        <f t="shared" si="11"/>
        <v>0</v>
      </c>
      <c r="T41" s="2">
        <f t="shared" si="12"/>
        <v>-0.27</v>
      </c>
      <c r="U41" s="2">
        <f t="shared" si="13"/>
        <v>0.27</v>
      </c>
      <c r="V41" s="2">
        <f t="shared" si="14"/>
        <v>-0.41</v>
      </c>
      <c r="W41" s="2">
        <f t="shared" si="15"/>
        <v>0.41</v>
      </c>
      <c r="X41" s="1"/>
    </row>
    <row r="42" spans="1:24" ht="20.100000000000001" customHeight="1" x14ac:dyDescent="0.25">
      <c r="A42" s="43">
        <f>IF(ISBLANK('Исходные данные'!C41),"",'Исходные данные'!A41)</f>
        <v>23</v>
      </c>
      <c r="B42" s="51">
        <f>IF(ISBLANK('Исходные данные'!B41),"",'Исходные данные'!B41)</f>
        <v>42402</v>
      </c>
      <c r="C42" s="52">
        <f>IF(ISBLANK('Исходные данные'!C41),"",'Исходные данные'!C41)</f>
        <v>1.6E-2</v>
      </c>
      <c r="D42" s="52">
        <f>IF(ISBLANK('Исходные данные'!D41),"",'Исходные данные'!D41)</f>
        <v>1.5599999999999999E-2</v>
      </c>
      <c r="E42" s="35">
        <f t="shared" si="0"/>
        <v>1.5800000000000002E-2</v>
      </c>
      <c r="F42" s="34">
        <f t="shared" si="1"/>
        <v>2.5316455696202597E-2</v>
      </c>
      <c r="G42" s="35">
        <f t="shared" si="16"/>
        <v>0.15699658703071684</v>
      </c>
      <c r="H42" s="35">
        <f t="shared" si="2"/>
        <v>5.3333333333333476E-2</v>
      </c>
      <c r="I42" s="34" t="str">
        <f t="shared" si="3"/>
        <v>—</v>
      </c>
      <c r="J42" s="34" t="str">
        <f t="shared" si="17"/>
        <v>—</v>
      </c>
      <c r="K42" s="139" t="str">
        <f t="shared" si="4"/>
        <v>—</v>
      </c>
      <c r="L42" s="149"/>
      <c r="M42" s="7">
        <f t="shared" si="5"/>
        <v>0.15</v>
      </c>
      <c r="N42" s="2">
        <f t="shared" si="6"/>
        <v>0.37</v>
      </c>
      <c r="O42" s="2">
        <f t="shared" si="7"/>
        <v>0.48</v>
      </c>
      <c r="P42" s="2">
        <f t="shared" si="8"/>
        <v>0.15</v>
      </c>
      <c r="Q42" s="2">
        <f t="shared" si="9"/>
        <v>0.37</v>
      </c>
      <c r="R42" s="2">
        <f t="shared" si="10"/>
        <v>0.48</v>
      </c>
      <c r="S42" s="2">
        <f t="shared" si="11"/>
        <v>0</v>
      </c>
      <c r="T42" s="2">
        <f t="shared" si="12"/>
        <v>-0.27</v>
      </c>
      <c r="U42" s="2">
        <f t="shared" si="13"/>
        <v>0.27</v>
      </c>
      <c r="V42" s="2">
        <f t="shared" si="14"/>
        <v>-0.41</v>
      </c>
      <c r="W42" s="2">
        <f t="shared" si="15"/>
        <v>0.41</v>
      </c>
      <c r="X42" s="1"/>
    </row>
    <row r="43" spans="1:24" ht="20.100000000000001" customHeight="1" x14ac:dyDescent="0.25">
      <c r="A43" s="43">
        <f>IF(ISBLANK('Исходные данные'!C42),"",'Исходные данные'!A42)</f>
        <v>24</v>
      </c>
      <c r="B43" s="51">
        <f>IF(ISBLANK('Исходные данные'!B42),"",'Исходные данные'!B42)</f>
        <v>42403</v>
      </c>
      <c r="C43" s="52">
        <f>IF(ISBLANK('Исходные данные'!C42),"",'Исходные данные'!C42)</f>
        <v>1.2999999999999999E-2</v>
      </c>
      <c r="D43" s="52">
        <f>IF(ISBLANK('Исходные данные'!D42),"",'Исходные данные'!D42)</f>
        <v>1.3299999999999999E-2</v>
      </c>
      <c r="E43" s="35">
        <f t="shared" si="0"/>
        <v>1.3149999999999998E-2</v>
      </c>
      <c r="F43" s="34">
        <f t="shared" si="1"/>
        <v>2.2813688212927754E-2</v>
      </c>
      <c r="G43" s="35">
        <f t="shared" si="16"/>
        <v>0.18307426597582058</v>
      </c>
      <c r="H43" s="35">
        <f t="shared" si="2"/>
        <v>-0.12333333333333341</v>
      </c>
      <c r="I43" s="34" t="str">
        <f t="shared" si="3"/>
        <v>—</v>
      </c>
      <c r="J43" s="34" t="str">
        <f t="shared" si="17"/>
        <v>—</v>
      </c>
      <c r="K43" s="139" t="str">
        <f t="shared" si="4"/>
        <v>—</v>
      </c>
      <c r="L43" s="149"/>
      <c r="M43" s="7">
        <f t="shared" si="5"/>
        <v>0.15</v>
      </c>
      <c r="N43" s="2">
        <f t="shared" si="6"/>
        <v>0.37</v>
      </c>
      <c r="O43" s="2">
        <f t="shared" si="7"/>
        <v>0.48</v>
      </c>
      <c r="P43" s="2">
        <f t="shared" si="8"/>
        <v>0.15</v>
      </c>
      <c r="Q43" s="2">
        <f t="shared" si="9"/>
        <v>0.37</v>
      </c>
      <c r="R43" s="2">
        <f t="shared" si="10"/>
        <v>0.48</v>
      </c>
      <c r="S43" s="2">
        <f t="shared" si="11"/>
        <v>0</v>
      </c>
      <c r="T43" s="2">
        <f t="shared" si="12"/>
        <v>-0.27</v>
      </c>
      <c r="U43" s="2">
        <f t="shared" si="13"/>
        <v>0.27</v>
      </c>
      <c r="V43" s="2">
        <f t="shared" si="14"/>
        <v>-0.41</v>
      </c>
      <c r="W43" s="2">
        <f t="shared" si="15"/>
        <v>0.41</v>
      </c>
      <c r="X43" s="1"/>
    </row>
    <row r="44" spans="1:24" ht="20.100000000000001" customHeight="1" x14ac:dyDescent="0.25">
      <c r="A44" s="43">
        <f>IF(ISBLANK('Исходные данные'!C43),"",'Исходные данные'!A43)</f>
        <v>25</v>
      </c>
      <c r="B44" s="51">
        <f>IF(ISBLANK('Исходные данные'!B43),"",'Исходные данные'!B43)</f>
        <v>42404</v>
      </c>
      <c r="C44" s="52">
        <f>IF(ISBLANK('Исходные данные'!C43),"",'Исходные данные'!C43)</f>
        <v>1.5100000000000001E-2</v>
      </c>
      <c r="D44" s="52">
        <f>IF(ISBLANK('Исходные данные'!D43),"",'Исходные данные'!D43)</f>
        <v>1.47E-2</v>
      </c>
      <c r="E44" s="35">
        <f t="shared" si="0"/>
        <v>1.49E-2</v>
      </c>
      <c r="F44" s="34">
        <f t="shared" si="1"/>
        <v>2.6845637583892686E-2</v>
      </c>
      <c r="G44" s="35">
        <f t="shared" si="16"/>
        <v>0.12477718360071313</v>
      </c>
      <c r="H44" s="35">
        <f t="shared" si="2"/>
        <v>-6.6666666666666263E-3</v>
      </c>
      <c r="I44" s="34" t="str">
        <f t="shared" si="3"/>
        <v>—</v>
      </c>
      <c r="J44" s="34" t="str">
        <f t="shared" si="17"/>
        <v>—</v>
      </c>
      <c r="K44" s="139" t="str">
        <f t="shared" si="4"/>
        <v>—</v>
      </c>
      <c r="L44" s="149"/>
      <c r="M44" s="7">
        <f t="shared" si="5"/>
        <v>0.15</v>
      </c>
      <c r="N44" s="2">
        <f t="shared" si="6"/>
        <v>0.37</v>
      </c>
      <c r="O44" s="2">
        <f t="shared" si="7"/>
        <v>0.48</v>
      </c>
      <c r="P44" s="2">
        <f t="shared" si="8"/>
        <v>0.15</v>
      </c>
      <c r="Q44" s="2">
        <f t="shared" si="9"/>
        <v>0.37</v>
      </c>
      <c r="R44" s="2">
        <f t="shared" si="10"/>
        <v>0.48</v>
      </c>
      <c r="S44" s="2">
        <f t="shared" si="11"/>
        <v>0</v>
      </c>
      <c r="T44" s="2">
        <f t="shared" si="12"/>
        <v>-0.27</v>
      </c>
      <c r="U44" s="2">
        <f t="shared" si="13"/>
        <v>0.27</v>
      </c>
      <c r="V44" s="2">
        <f t="shared" si="14"/>
        <v>-0.41</v>
      </c>
      <c r="W44" s="2">
        <f t="shared" si="15"/>
        <v>0.41</v>
      </c>
      <c r="X44" s="1"/>
    </row>
    <row r="45" spans="1:24" ht="20.100000000000001" customHeight="1" x14ac:dyDescent="0.25">
      <c r="A45" s="43">
        <f>IF(ISBLANK('Исходные данные'!C44),"",'Исходные данные'!A44)</f>
        <v>26</v>
      </c>
      <c r="B45" s="51">
        <f>IF(ISBLANK('Исходные данные'!B44),"",'Исходные данные'!B44)</f>
        <v>42405</v>
      </c>
      <c r="C45" s="52">
        <f>IF(ISBLANK('Исходные данные'!C44),"",'Исходные данные'!C44)</f>
        <v>1.6E-2</v>
      </c>
      <c r="D45" s="52">
        <f>IF(ISBLANK('Исходные данные'!D44),"",'Исходные данные'!D44)</f>
        <v>1.7600000000000001E-2</v>
      </c>
      <c r="E45" s="35">
        <f t="shared" si="0"/>
        <v>1.6800000000000002E-2</v>
      </c>
      <c r="F45" s="34">
        <f t="shared" si="1"/>
        <v>9.5238095238095274E-2</v>
      </c>
      <c r="G45" s="35">
        <f t="shared" si="16"/>
        <v>0.11987381703470044</v>
      </c>
      <c r="H45" s="35">
        <f t="shared" si="2"/>
        <v>0.1200000000000002</v>
      </c>
      <c r="I45" s="34" t="str">
        <f t="shared" si="3"/>
        <v>—</v>
      </c>
      <c r="J45" s="34" t="str">
        <f t="shared" si="17"/>
        <v>—</v>
      </c>
      <c r="K45" s="139" t="str">
        <f t="shared" si="4"/>
        <v>—</v>
      </c>
      <c r="L45" s="149"/>
      <c r="M45" s="7">
        <f t="shared" si="5"/>
        <v>0.15</v>
      </c>
      <c r="N45" s="2">
        <f t="shared" si="6"/>
        <v>0.37</v>
      </c>
      <c r="O45" s="2">
        <f t="shared" si="7"/>
        <v>0.48</v>
      </c>
      <c r="P45" s="2">
        <f t="shared" si="8"/>
        <v>0.15</v>
      </c>
      <c r="Q45" s="2">
        <f t="shared" si="9"/>
        <v>0.37</v>
      </c>
      <c r="R45" s="2">
        <f t="shared" si="10"/>
        <v>0.48</v>
      </c>
      <c r="S45" s="2">
        <f t="shared" si="11"/>
        <v>0</v>
      </c>
      <c r="T45" s="2">
        <f t="shared" si="12"/>
        <v>-0.27</v>
      </c>
      <c r="U45" s="2">
        <f t="shared" si="13"/>
        <v>0.27</v>
      </c>
      <c r="V45" s="2">
        <f t="shared" si="14"/>
        <v>-0.41</v>
      </c>
      <c r="W45" s="2">
        <f t="shared" si="15"/>
        <v>0.41</v>
      </c>
      <c r="X45" s="1"/>
    </row>
    <row r="46" spans="1:24" ht="20.100000000000001" customHeight="1" x14ac:dyDescent="0.25">
      <c r="A46" s="43">
        <f>IF(ISBLANK('Исходные данные'!C45),"",'Исходные данные'!A45)</f>
        <v>27</v>
      </c>
      <c r="B46" s="51">
        <f>IF(ISBLANK('Исходные данные'!B45),"",'Исходные данные'!B45)</f>
        <v>42406</v>
      </c>
      <c r="C46" s="52">
        <f>IF(ISBLANK('Исходные данные'!C45),"",'Исходные данные'!C45)</f>
        <v>1.3100000000000001E-2</v>
      </c>
      <c r="D46" s="52">
        <f>IF(ISBLANK('Исходные данные'!D45),"",'Исходные данные'!D45)</f>
        <v>1.47E-2</v>
      </c>
      <c r="E46" s="35">
        <f t="shared" si="0"/>
        <v>1.3899999999999999E-2</v>
      </c>
      <c r="F46" s="34">
        <f t="shared" si="1"/>
        <v>0.11510791366906468</v>
      </c>
      <c r="G46" s="35">
        <f t="shared" si="16"/>
        <v>0.18892508143322495</v>
      </c>
      <c r="H46" s="35">
        <f t="shared" si="2"/>
        <v>-7.3333333333333361E-2</v>
      </c>
      <c r="I46" s="34" t="str">
        <f t="shared" si="3"/>
        <v>—</v>
      </c>
      <c r="J46" s="34" t="str">
        <f t="shared" si="17"/>
        <v>—</v>
      </c>
      <c r="K46" s="139" t="str">
        <f t="shared" si="4"/>
        <v>—</v>
      </c>
      <c r="L46" s="149"/>
      <c r="M46" s="7">
        <f t="shared" si="5"/>
        <v>0.15</v>
      </c>
      <c r="N46" s="2">
        <f t="shared" si="6"/>
        <v>0.37</v>
      </c>
      <c r="O46" s="2">
        <f t="shared" si="7"/>
        <v>0.48</v>
      </c>
      <c r="P46" s="2">
        <f t="shared" si="8"/>
        <v>0.15</v>
      </c>
      <c r="Q46" s="2">
        <f t="shared" si="9"/>
        <v>0.37</v>
      </c>
      <c r="R46" s="2">
        <f t="shared" si="10"/>
        <v>0.48</v>
      </c>
      <c r="S46" s="2">
        <f t="shared" si="11"/>
        <v>0</v>
      </c>
      <c r="T46" s="2">
        <f t="shared" si="12"/>
        <v>-0.27</v>
      </c>
      <c r="U46" s="2">
        <f t="shared" si="13"/>
        <v>0.27</v>
      </c>
      <c r="V46" s="2">
        <f t="shared" si="14"/>
        <v>-0.41</v>
      </c>
      <c r="W46" s="2">
        <f t="shared" si="15"/>
        <v>0.41</v>
      </c>
      <c r="X46" s="1"/>
    </row>
    <row r="47" spans="1:24" ht="20.100000000000001" customHeight="1" x14ac:dyDescent="0.25">
      <c r="A47" s="43">
        <f>IF(ISBLANK('Исходные данные'!C46),"",'Исходные данные'!A46)</f>
        <v>28</v>
      </c>
      <c r="B47" s="51">
        <f>IF(ISBLANK('Исходные данные'!B46),"",'Исходные данные'!B46)</f>
        <v>42407</v>
      </c>
      <c r="C47" s="52">
        <f>IF(ISBLANK('Исходные данные'!C46),"",'Исходные данные'!C46)</f>
        <v>1.4500000000000001E-2</v>
      </c>
      <c r="D47" s="52">
        <f>IF(ISBLANK('Исходные данные'!D46),"",'Исходные данные'!D46)</f>
        <v>1.5100000000000001E-2</v>
      </c>
      <c r="E47" s="35">
        <f t="shared" si="0"/>
        <v>1.4800000000000001E-2</v>
      </c>
      <c r="F47" s="34">
        <f t="shared" si="1"/>
        <v>4.0540540540540529E-2</v>
      </c>
      <c r="G47" s="35">
        <f t="shared" si="16"/>
        <v>6.2717770034843315E-2</v>
      </c>
      <c r="H47" s="35">
        <f t="shared" si="2"/>
        <v>-1.3333333333333253E-2</v>
      </c>
      <c r="I47" s="34" t="str">
        <f t="shared" si="3"/>
        <v>—</v>
      </c>
      <c r="J47" s="34" t="str">
        <f t="shared" si="17"/>
        <v>—</v>
      </c>
      <c r="K47" s="139" t="str">
        <f t="shared" si="4"/>
        <v>—</v>
      </c>
      <c r="L47" s="149"/>
      <c r="M47" s="7">
        <f t="shared" si="5"/>
        <v>0.15</v>
      </c>
      <c r="N47" s="2">
        <f t="shared" si="6"/>
        <v>0.37</v>
      </c>
      <c r="O47" s="2">
        <f t="shared" si="7"/>
        <v>0.48</v>
      </c>
      <c r="P47" s="2">
        <f t="shared" si="8"/>
        <v>0.15</v>
      </c>
      <c r="Q47" s="2">
        <f t="shared" si="9"/>
        <v>0.37</v>
      </c>
      <c r="R47" s="2">
        <f t="shared" si="10"/>
        <v>0.48</v>
      </c>
      <c r="S47" s="2">
        <f t="shared" si="11"/>
        <v>0</v>
      </c>
      <c r="T47" s="2">
        <f t="shared" si="12"/>
        <v>-0.27</v>
      </c>
      <c r="U47" s="2">
        <f t="shared" si="13"/>
        <v>0.27</v>
      </c>
      <c r="V47" s="2">
        <f t="shared" si="14"/>
        <v>-0.41</v>
      </c>
      <c r="W47" s="2">
        <f t="shared" si="15"/>
        <v>0.41</v>
      </c>
      <c r="X47" s="1"/>
    </row>
    <row r="48" spans="1:24" ht="20.100000000000001" customHeight="1" x14ac:dyDescent="0.25">
      <c r="A48" s="43">
        <f>IF(ISBLANK('Исходные данные'!C47),"",'Исходные данные'!A47)</f>
        <v>29</v>
      </c>
      <c r="B48" s="51">
        <f>IF(ISBLANK('Исходные данные'!B47),"",'Исходные данные'!B47)</f>
        <v>42408</v>
      </c>
      <c r="C48" s="52">
        <f>IF(ISBLANK('Исходные данные'!C47),"",'Исходные данные'!C47)</f>
        <v>1.4E-2</v>
      </c>
      <c r="D48" s="52">
        <f>IF(ISBLANK('Исходные данные'!D47),"",'Исходные данные'!D47)</f>
        <v>1.2999999999999999E-2</v>
      </c>
      <c r="E48" s="35">
        <f t="shared" si="0"/>
        <v>1.35E-2</v>
      </c>
      <c r="F48" s="34">
        <f t="shared" si="1"/>
        <v>7.4074074074074139E-2</v>
      </c>
      <c r="G48" s="35">
        <f t="shared" si="16"/>
        <v>9.1872791519434685E-2</v>
      </c>
      <c r="H48" s="35">
        <f t="shared" si="2"/>
        <v>-9.9999999999999978E-2</v>
      </c>
      <c r="I48" s="34" t="str">
        <f t="shared" si="3"/>
        <v>—</v>
      </c>
      <c r="J48" s="34" t="str">
        <f t="shared" si="17"/>
        <v>—</v>
      </c>
      <c r="K48" s="139" t="str">
        <f t="shared" si="4"/>
        <v>—</v>
      </c>
      <c r="L48" s="149"/>
      <c r="M48" s="7">
        <f t="shared" si="5"/>
        <v>0.15</v>
      </c>
      <c r="N48" s="2">
        <f t="shared" si="6"/>
        <v>0.37</v>
      </c>
      <c r="O48" s="2">
        <f t="shared" si="7"/>
        <v>0.48</v>
      </c>
      <c r="P48" s="2">
        <f t="shared" si="8"/>
        <v>0.15</v>
      </c>
      <c r="Q48" s="2">
        <f t="shared" si="9"/>
        <v>0.37</v>
      </c>
      <c r="R48" s="2">
        <f t="shared" si="10"/>
        <v>0.48</v>
      </c>
      <c r="S48" s="2">
        <f t="shared" si="11"/>
        <v>0</v>
      </c>
      <c r="T48" s="2">
        <f t="shared" si="12"/>
        <v>-0.27</v>
      </c>
      <c r="U48" s="2">
        <f t="shared" si="13"/>
        <v>0.27</v>
      </c>
      <c r="V48" s="2">
        <f t="shared" si="14"/>
        <v>-0.41</v>
      </c>
      <c r="W48" s="2">
        <f t="shared" si="15"/>
        <v>0.41</v>
      </c>
      <c r="X48" s="1"/>
    </row>
    <row r="49" spans="1:24" ht="20.100000000000001" customHeight="1" x14ac:dyDescent="0.25">
      <c r="A49" s="43">
        <f>IF(ISBLANK('Исходные данные'!C48),"",'Исходные данные'!A48)</f>
        <v>30</v>
      </c>
      <c r="B49" s="51">
        <f>IF(ISBLANK('Исходные данные'!B48),"",'Исходные данные'!B48)</f>
        <v>42409</v>
      </c>
      <c r="C49" s="52">
        <f>IF(ISBLANK('Исходные данные'!C48),"",'Исходные данные'!C48)</f>
        <v>1.54E-2</v>
      </c>
      <c r="D49" s="52">
        <f>IF(ISBLANK('Исходные данные'!D48),"",'Исходные данные'!D48)</f>
        <v>1.5599999999999999E-2</v>
      </c>
      <c r="E49" s="35">
        <f t="shared" si="0"/>
        <v>1.55E-2</v>
      </c>
      <c r="F49" s="34">
        <f t="shared" si="1"/>
        <v>1.2903225806451535E-2</v>
      </c>
      <c r="G49" s="35">
        <f t="shared" si="16"/>
        <v>0.13793103448275865</v>
      </c>
      <c r="H49" s="35">
        <f t="shared" si="2"/>
        <v>3.3333333333333368E-2</v>
      </c>
      <c r="I49" s="34" t="str">
        <f t="shared" si="3"/>
        <v>—</v>
      </c>
      <c r="J49" s="34" t="str">
        <f t="shared" si="17"/>
        <v>—</v>
      </c>
      <c r="K49" s="139" t="str">
        <f t="shared" si="4"/>
        <v>—</v>
      </c>
      <c r="L49" s="149"/>
      <c r="M49" s="7">
        <f t="shared" si="5"/>
        <v>0.15</v>
      </c>
      <c r="N49" s="2">
        <f t="shared" si="6"/>
        <v>0.37</v>
      </c>
      <c r="O49" s="2">
        <f t="shared" si="7"/>
        <v>0.48</v>
      </c>
      <c r="P49" s="2">
        <f t="shared" si="8"/>
        <v>0.15</v>
      </c>
      <c r="Q49" s="2">
        <f t="shared" si="9"/>
        <v>0.37</v>
      </c>
      <c r="R49" s="2">
        <f t="shared" si="10"/>
        <v>0.48</v>
      </c>
      <c r="S49" s="2">
        <f t="shared" si="11"/>
        <v>0</v>
      </c>
      <c r="T49" s="2">
        <f t="shared" si="12"/>
        <v>-0.27</v>
      </c>
      <c r="U49" s="2">
        <f t="shared" si="13"/>
        <v>0.27</v>
      </c>
      <c r="V49" s="2">
        <f t="shared" si="14"/>
        <v>-0.41</v>
      </c>
      <c r="W49" s="2">
        <f t="shared" si="15"/>
        <v>0.41</v>
      </c>
      <c r="X49" s="1"/>
    </row>
    <row r="50" spans="1:24" ht="15.75" x14ac:dyDescent="0.25">
      <c r="A50" s="1" t="s">
        <v>5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4" ht="18.75" x14ac:dyDescent="0.25">
      <c r="A51" s="83" t="s">
        <v>30</v>
      </c>
      <c r="B51" s="142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8"/>
      <c r="N51" s="18"/>
      <c r="O51" s="18"/>
      <c r="P51" s="18"/>
      <c r="Q51" s="1"/>
      <c r="R51" s="1"/>
      <c r="S51" s="1"/>
      <c r="T51" s="1"/>
      <c r="U51" s="1"/>
    </row>
    <row r="52" spans="1:24" ht="18.75" x14ac:dyDescent="0.25">
      <c r="A52" s="24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5"/>
      <c r="N52" s="25"/>
      <c r="O52" s="25"/>
      <c r="P52" s="25"/>
      <c r="Q52" s="1"/>
      <c r="R52" s="1"/>
      <c r="S52" s="1"/>
      <c r="T52" s="1"/>
      <c r="U52" s="1"/>
    </row>
    <row r="53" spans="1:24" ht="18.75" x14ac:dyDescent="0.25">
      <c r="A53" s="24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5"/>
      <c r="N53" s="25"/>
      <c r="O53" s="25"/>
      <c r="P53" s="25"/>
      <c r="Q53" s="1"/>
      <c r="R53" s="1"/>
      <c r="S53" s="1"/>
      <c r="T53" s="1"/>
      <c r="U53" s="1"/>
    </row>
    <row r="54" spans="1:24" ht="18.75" x14ac:dyDescent="0.25">
      <c r="A54" s="24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5"/>
      <c r="N54" s="25"/>
      <c r="O54" s="25"/>
      <c r="P54" s="25"/>
      <c r="Q54" s="1"/>
      <c r="R54" s="1"/>
      <c r="S54" s="1"/>
      <c r="T54" s="1"/>
      <c r="U54" s="1"/>
    </row>
    <row r="55" spans="1:24" ht="18.75" x14ac:dyDescent="0.25">
      <c r="A55" s="24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5"/>
      <c r="N55" s="25"/>
      <c r="O55" s="25"/>
      <c r="P55" s="25"/>
      <c r="Q55" s="1"/>
      <c r="R55" s="1"/>
      <c r="S55" s="1"/>
      <c r="T55" s="1"/>
      <c r="U55" s="1"/>
    </row>
    <row r="56" spans="1:24" ht="18.75" x14ac:dyDescent="0.25">
      <c r="A56" s="24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5"/>
      <c r="N56" s="25"/>
      <c r="O56" s="25"/>
      <c r="P56" s="25"/>
      <c r="Q56" s="1"/>
      <c r="R56" s="1"/>
      <c r="S56" s="1"/>
      <c r="T56" s="1"/>
      <c r="U56" s="1"/>
    </row>
    <row r="57" spans="1:24" ht="18.75" x14ac:dyDescent="0.25">
      <c r="A57" s="24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5"/>
      <c r="N57" s="25"/>
      <c r="O57" s="25"/>
      <c r="P57" s="25"/>
      <c r="Q57" s="1"/>
      <c r="R57" s="1"/>
      <c r="S57" s="1"/>
      <c r="T57" s="1"/>
      <c r="U57" s="1"/>
    </row>
    <row r="58" spans="1:24" ht="18.75" x14ac:dyDescent="0.25">
      <c r="A58" s="24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5"/>
      <c r="N58" s="25"/>
      <c r="O58" s="25"/>
      <c r="P58" s="25"/>
      <c r="Q58" s="1"/>
      <c r="R58" s="1"/>
      <c r="S58" s="1"/>
      <c r="T58" s="1"/>
      <c r="U58" s="1"/>
    </row>
    <row r="59" spans="1:24" ht="18.75" x14ac:dyDescent="0.25">
      <c r="A59" s="24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5"/>
      <c r="N59" s="25"/>
      <c r="O59" s="25"/>
      <c r="P59" s="25"/>
      <c r="Q59" s="1"/>
      <c r="R59" s="1"/>
      <c r="S59" s="1"/>
      <c r="T59" s="1"/>
      <c r="U59" s="1"/>
    </row>
    <row r="60" spans="1:24" ht="18.75" x14ac:dyDescent="0.25">
      <c r="A60" s="24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5"/>
      <c r="N60" s="25"/>
      <c r="O60" s="25"/>
      <c r="P60" s="25"/>
      <c r="Q60" s="1"/>
      <c r="R60" s="1"/>
      <c r="S60" s="1"/>
      <c r="T60" s="1"/>
      <c r="U60" s="1"/>
    </row>
    <row r="61" spans="1:24" ht="18.75" x14ac:dyDescent="0.25">
      <c r="A61" s="24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5"/>
      <c r="N61" s="25"/>
      <c r="O61" s="25"/>
      <c r="P61" s="25"/>
      <c r="Q61" s="1"/>
      <c r="R61" s="1"/>
      <c r="S61" s="1"/>
      <c r="T61" s="1"/>
      <c r="U61" s="1"/>
    </row>
    <row r="62" spans="1:24" ht="18.75" x14ac:dyDescent="0.25">
      <c r="A62" s="24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5"/>
      <c r="N62" s="25"/>
      <c r="O62" s="25"/>
      <c r="P62" s="25"/>
      <c r="Q62" s="1"/>
      <c r="R62" s="1"/>
      <c r="S62" s="1"/>
      <c r="T62" s="1"/>
      <c r="U62" s="1"/>
    </row>
    <row r="63" spans="1:24" ht="18.75" x14ac:dyDescent="0.25">
      <c r="A63" s="24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5"/>
      <c r="N63" s="25"/>
      <c r="O63" s="25"/>
      <c r="P63" s="25"/>
      <c r="Q63" s="1"/>
      <c r="R63" s="1"/>
      <c r="S63" s="1"/>
      <c r="T63" s="1"/>
      <c r="U63" s="1"/>
    </row>
    <row r="64" spans="1:24" ht="18.75" x14ac:dyDescent="0.25">
      <c r="A64" s="24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5"/>
      <c r="N64" s="25"/>
      <c r="O64" s="25"/>
      <c r="P64" s="25"/>
      <c r="Q64" s="1"/>
      <c r="R64" s="1"/>
      <c r="S64" s="1"/>
      <c r="T64" s="1"/>
      <c r="U64" s="1"/>
    </row>
    <row r="65" spans="1:21" ht="18.75" x14ac:dyDescent="0.25">
      <c r="A65" s="24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5"/>
      <c r="N65" s="25"/>
      <c r="O65" s="25"/>
      <c r="P65" s="25"/>
      <c r="Q65" s="1"/>
      <c r="R65" s="1"/>
      <c r="S65" s="1"/>
      <c r="T65" s="1"/>
      <c r="U65" s="1"/>
    </row>
    <row r="66" spans="1:21" ht="18.75" x14ac:dyDescent="0.25">
      <c r="A66" s="24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5"/>
      <c r="N66" s="25"/>
      <c r="O66" s="25"/>
      <c r="P66" s="25"/>
      <c r="Q66" s="1"/>
      <c r="R66" s="1"/>
      <c r="S66" s="1"/>
      <c r="T66" s="1"/>
      <c r="U66" s="1"/>
    </row>
    <row r="67" spans="1:21" ht="18.75" x14ac:dyDescent="0.25">
      <c r="A67" s="24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5"/>
      <c r="N67" s="25"/>
      <c r="O67" s="25"/>
      <c r="P67" s="25"/>
      <c r="Q67" s="1"/>
      <c r="R67" s="1"/>
      <c r="S67" s="1"/>
      <c r="T67" s="1"/>
      <c r="U67" s="1"/>
    </row>
    <row r="68" spans="1:21" ht="18.75" x14ac:dyDescent="0.25">
      <c r="A68" s="24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5"/>
      <c r="N68" s="25"/>
      <c r="O68" s="25"/>
      <c r="P68" s="25"/>
      <c r="Q68" s="1"/>
      <c r="R68" s="1"/>
      <c r="S68" s="1"/>
      <c r="T68" s="1"/>
      <c r="U68" s="1"/>
    </row>
    <row r="69" spans="1:21" ht="18.75" x14ac:dyDescent="0.25">
      <c r="A69" s="24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5"/>
      <c r="N69" s="25"/>
      <c r="O69" s="25"/>
      <c r="P69" s="25"/>
      <c r="Q69" s="1"/>
      <c r="R69" s="1"/>
      <c r="S69" s="1"/>
      <c r="T69" s="1"/>
      <c r="U69" s="1"/>
    </row>
    <row r="70" spans="1:21" ht="18.75" x14ac:dyDescent="0.25">
      <c r="A70" s="24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5"/>
      <c r="N70" s="25"/>
      <c r="O70" s="25"/>
      <c r="P70" s="25"/>
      <c r="Q70" s="1"/>
      <c r="R70" s="1"/>
      <c r="S70" s="1"/>
      <c r="T70" s="1"/>
      <c r="U70" s="1"/>
    </row>
    <row r="71" spans="1:21" ht="18.75" x14ac:dyDescent="0.25">
      <c r="A71" s="24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5"/>
      <c r="N71" s="25"/>
      <c r="O71" s="25"/>
      <c r="P71" s="25"/>
      <c r="Q71" s="1"/>
      <c r="R71" s="1"/>
      <c r="S71" s="1"/>
      <c r="T71" s="1"/>
      <c r="U71" s="1"/>
    </row>
    <row r="72" spans="1:21" ht="18.75" x14ac:dyDescent="0.25">
      <c r="A72" s="24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5"/>
      <c r="N72" s="25"/>
      <c r="O72" s="25"/>
      <c r="P72" s="25"/>
      <c r="Q72" s="1"/>
      <c r="R72" s="1"/>
      <c r="S72" s="1"/>
      <c r="T72" s="1"/>
      <c r="U72" s="1"/>
    </row>
    <row r="73" spans="1:21" ht="18.75" x14ac:dyDescent="0.25">
      <c r="A73" s="24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5"/>
      <c r="N73" s="25"/>
      <c r="O73" s="25"/>
      <c r="P73" s="25"/>
      <c r="Q73" s="1"/>
      <c r="R73" s="1"/>
      <c r="S73" s="1"/>
      <c r="T73" s="1"/>
      <c r="U73" s="1"/>
    </row>
    <row r="74" spans="1:21" ht="18.75" x14ac:dyDescent="0.25">
      <c r="A74" s="24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5"/>
      <c r="N74" s="25"/>
      <c r="O74" s="25"/>
      <c r="P74" s="25"/>
      <c r="Q74" s="1"/>
      <c r="R74" s="1"/>
      <c r="S74" s="1"/>
      <c r="T74" s="1"/>
      <c r="U74" s="1"/>
    </row>
    <row r="75" spans="1:21" ht="18.75" x14ac:dyDescent="0.25">
      <c r="A75" s="24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5"/>
      <c r="N75" s="25"/>
      <c r="O75" s="25"/>
      <c r="P75" s="25"/>
      <c r="Q75" s="1"/>
      <c r="R75" s="1"/>
      <c r="S75" s="1"/>
      <c r="T75" s="1"/>
      <c r="U75" s="1"/>
    </row>
    <row r="76" spans="1:21" ht="18.75" x14ac:dyDescent="0.25">
      <c r="A76" s="24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5"/>
      <c r="N76" s="25"/>
      <c r="O76" s="25"/>
      <c r="P76" s="25"/>
      <c r="Q76" s="1"/>
      <c r="R76" s="1"/>
      <c r="S76" s="1"/>
      <c r="T76" s="1"/>
      <c r="U76" s="1"/>
    </row>
    <row r="77" spans="1:21" ht="18.75" x14ac:dyDescent="0.25">
      <c r="A77" s="24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5"/>
      <c r="N77" s="25"/>
      <c r="O77" s="25"/>
      <c r="P77" s="25"/>
      <c r="Q77" s="1"/>
      <c r="R77" s="1"/>
      <c r="S77" s="1"/>
      <c r="T77" s="1"/>
      <c r="U77" s="1"/>
    </row>
    <row r="78" spans="1:21" ht="18.75" x14ac:dyDescent="0.25">
      <c r="A78" s="24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5"/>
      <c r="N78" s="25"/>
      <c r="O78" s="25"/>
      <c r="P78" s="25"/>
      <c r="Q78" s="1"/>
      <c r="R78" s="1"/>
      <c r="S78" s="1"/>
      <c r="T78" s="1"/>
      <c r="U78" s="1"/>
    </row>
    <row r="79" spans="1:21" ht="18.75" x14ac:dyDescent="0.25">
      <c r="A79" s="24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5"/>
      <c r="N79" s="25"/>
      <c r="O79" s="25"/>
      <c r="P79" s="25"/>
      <c r="Q79" s="1"/>
      <c r="R79" s="1"/>
      <c r="S79" s="1"/>
      <c r="T79" s="1"/>
      <c r="U79" s="1"/>
    </row>
    <row r="80" spans="1:21" ht="18.75" x14ac:dyDescent="0.25">
      <c r="A80" s="24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5"/>
      <c r="N80" s="25"/>
      <c r="O80" s="25"/>
      <c r="P80" s="25"/>
      <c r="Q80" s="1"/>
      <c r="R80" s="1"/>
      <c r="S80" s="1"/>
      <c r="T80" s="1"/>
      <c r="U80" s="1"/>
    </row>
    <row r="81" spans="1:21" ht="18.75" x14ac:dyDescent="0.25">
      <c r="A81" s="24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5"/>
      <c r="N81" s="25"/>
      <c r="O81" s="25"/>
      <c r="P81" s="25"/>
      <c r="Q81" s="1"/>
      <c r="R81" s="1"/>
      <c r="S81" s="1"/>
      <c r="T81" s="1"/>
      <c r="U81" s="1"/>
    </row>
    <row r="82" spans="1:21" ht="18.75" x14ac:dyDescent="0.25">
      <c r="A82" s="24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5"/>
      <c r="N82" s="25"/>
      <c r="O82" s="25"/>
      <c r="P82" s="25"/>
      <c r="Q82" s="1"/>
      <c r="R82" s="1"/>
      <c r="S82" s="1"/>
      <c r="T82" s="1"/>
      <c r="U82" s="1"/>
    </row>
    <row r="83" spans="1:21" ht="18.75" x14ac:dyDescent="0.25">
      <c r="A83" s="24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5"/>
      <c r="N83" s="25"/>
      <c r="O83" s="25"/>
      <c r="P83" s="25"/>
      <c r="Q83" s="1"/>
      <c r="R83" s="1"/>
      <c r="S83" s="1"/>
      <c r="T83" s="1"/>
      <c r="U83" s="1"/>
    </row>
    <row r="84" spans="1:21" ht="18.75" x14ac:dyDescent="0.25">
      <c r="A84" s="24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5"/>
      <c r="N84" s="25"/>
      <c r="O84" s="25"/>
      <c r="P84" s="25"/>
      <c r="Q84" s="1"/>
      <c r="R84" s="1"/>
      <c r="S84" s="1"/>
      <c r="T84" s="1"/>
      <c r="U84" s="1"/>
    </row>
    <row r="85" spans="1:21" ht="18.75" x14ac:dyDescent="0.25">
      <c r="A85" s="24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5"/>
      <c r="N85" s="25"/>
      <c r="O85" s="25"/>
      <c r="P85" s="25"/>
      <c r="Q85" s="1"/>
      <c r="R85" s="1"/>
      <c r="S85" s="1"/>
      <c r="T85" s="1"/>
      <c r="U85" s="1"/>
    </row>
    <row r="86" spans="1:21" ht="18.75" x14ac:dyDescent="0.25">
      <c r="A86" s="24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5"/>
      <c r="N86" s="25"/>
      <c r="O86" s="25"/>
      <c r="P86" s="25"/>
      <c r="Q86" s="1"/>
      <c r="R86" s="1"/>
      <c r="S86" s="1"/>
      <c r="T86" s="1"/>
      <c r="U86" s="1"/>
    </row>
    <row r="87" spans="1:21" ht="18.75" x14ac:dyDescent="0.25">
      <c r="A87" s="24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5"/>
      <c r="N87" s="25"/>
      <c r="O87" s="25"/>
      <c r="P87" s="25"/>
      <c r="Q87" s="1"/>
      <c r="R87" s="1"/>
      <c r="S87" s="1"/>
      <c r="T87" s="1"/>
      <c r="U87" s="1"/>
    </row>
    <row r="88" spans="1:21" ht="18.75" x14ac:dyDescent="0.25">
      <c r="A88" s="24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5"/>
      <c r="N88" s="25"/>
      <c r="O88" s="25"/>
      <c r="P88" s="25"/>
      <c r="Q88" s="1"/>
      <c r="R88" s="1"/>
      <c r="S88" s="1"/>
      <c r="T88" s="1"/>
      <c r="U88" s="1"/>
    </row>
    <row r="89" spans="1:21" ht="18.75" x14ac:dyDescent="0.25">
      <c r="A89" s="24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5"/>
      <c r="N89" s="25"/>
      <c r="O89" s="25"/>
      <c r="P89" s="25"/>
      <c r="Q89" s="1"/>
      <c r="R89" s="1"/>
      <c r="S89" s="1"/>
      <c r="T89" s="1"/>
      <c r="U89" s="1"/>
    </row>
    <row r="90" spans="1:21" ht="18.75" x14ac:dyDescent="0.25">
      <c r="A90" s="24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5"/>
      <c r="N90" s="25"/>
      <c r="O90" s="25"/>
      <c r="P90" s="25"/>
      <c r="Q90" s="1"/>
      <c r="R90" s="1"/>
      <c r="S90" s="1"/>
      <c r="T90" s="1"/>
      <c r="U90" s="1"/>
    </row>
    <row r="91" spans="1:21" ht="18.75" x14ac:dyDescent="0.25">
      <c r="A91" s="24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5"/>
      <c r="N91" s="25"/>
      <c r="O91" s="25"/>
      <c r="P91" s="25"/>
      <c r="Q91" s="1"/>
      <c r="R91" s="1"/>
      <c r="S91" s="1"/>
      <c r="T91" s="1"/>
      <c r="U91" s="1"/>
    </row>
    <row r="92" spans="1:21" ht="18.75" x14ac:dyDescent="0.25">
      <c r="A92" s="24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5"/>
      <c r="N92" s="25"/>
      <c r="O92" s="25"/>
      <c r="P92" s="25"/>
      <c r="Q92" s="1"/>
      <c r="R92" s="1"/>
      <c r="S92" s="1"/>
      <c r="T92" s="1"/>
      <c r="U92" s="1"/>
    </row>
    <row r="93" spans="1:21" ht="18.75" x14ac:dyDescent="0.25">
      <c r="A93" s="24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5"/>
      <c r="N93" s="25"/>
      <c r="O93" s="25"/>
      <c r="P93" s="25"/>
      <c r="Q93" s="1"/>
      <c r="R93" s="1"/>
      <c r="S93" s="1"/>
      <c r="T93" s="1"/>
      <c r="U93" s="1"/>
    </row>
    <row r="94" spans="1:21" ht="18.75" x14ac:dyDescent="0.25">
      <c r="A94" s="24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5"/>
      <c r="N94" s="25"/>
      <c r="O94" s="25"/>
      <c r="P94" s="25"/>
      <c r="Q94" s="1"/>
      <c r="R94" s="1"/>
      <c r="S94" s="1"/>
      <c r="T94" s="1"/>
      <c r="U94" s="1"/>
    </row>
    <row r="95" spans="1:21" ht="18.75" x14ac:dyDescent="0.25">
      <c r="A95" s="24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5"/>
      <c r="N95" s="25"/>
      <c r="O95" s="25"/>
      <c r="P95" s="25"/>
      <c r="Q95" s="1"/>
      <c r="R95" s="1"/>
      <c r="S95" s="1"/>
      <c r="T95" s="1"/>
      <c r="U95" s="1"/>
    </row>
    <row r="96" spans="1:21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24" customHeight="1" x14ac:dyDescent="0.25">
      <c r="A97" s="118" t="s">
        <v>49</v>
      </c>
      <c r="B97" s="119"/>
      <c r="C97" s="119"/>
      <c r="D97" s="119"/>
      <c r="E97" s="119"/>
      <c r="F97" s="119"/>
      <c r="G97" s="119"/>
      <c r="H97" s="119"/>
      <c r="I97" s="119"/>
      <c r="J97" s="119"/>
      <c r="K97" s="119"/>
      <c r="L97" s="120"/>
      <c r="M97" s="1"/>
      <c r="N97" s="1"/>
      <c r="O97" s="1"/>
      <c r="P97" s="1"/>
      <c r="Q97" s="1"/>
      <c r="R97" s="1"/>
      <c r="S97" s="1"/>
      <c r="T97" s="1"/>
      <c r="U97" s="1"/>
    </row>
    <row r="98" spans="1:21" ht="63.95" customHeight="1" x14ac:dyDescent="0.25">
      <c r="A98" s="30" t="s">
        <v>1</v>
      </c>
      <c r="B98" s="135" t="s">
        <v>31</v>
      </c>
      <c r="C98" s="135"/>
      <c r="D98" s="135"/>
      <c r="E98" s="135" t="s">
        <v>38</v>
      </c>
      <c r="F98" s="135"/>
      <c r="G98" s="135" t="s">
        <v>39</v>
      </c>
      <c r="H98" s="135"/>
      <c r="I98" s="30" t="s">
        <v>34</v>
      </c>
      <c r="J98" s="75" t="s">
        <v>40</v>
      </c>
      <c r="K98" s="135" t="s">
        <v>118</v>
      </c>
      <c r="L98" s="135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x14ac:dyDescent="0.25">
      <c r="A99" s="27">
        <f>IF(H20="","",'Исходные данные'!A19)</f>
        <v>1</v>
      </c>
      <c r="B99" s="134" t="str">
        <f>IF(H20="","",IF(OR(H20&gt;W20,H20&lt;V20),"Да","—"))</f>
        <v>—</v>
      </c>
      <c r="C99" s="96"/>
      <c r="D99" s="96"/>
      <c r="E99" s="152" t="s">
        <v>36</v>
      </c>
      <c r="F99" s="143"/>
      <c r="G99" s="134" t="s">
        <v>36</v>
      </c>
      <c r="H99" s="96"/>
      <c r="I99" s="28" t="s">
        <v>36</v>
      </c>
      <c r="J99" s="28" t="s">
        <v>36</v>
      </c>
      <c r="K99" s="134" t="s">
        <v>36</v>
      </c>
      <c r="L99" s="96"/>
      <c r="Q99" s="1"/>
      <c r="R99" s="1"/>
      <c r="S99" s="1"/>
      <c r="T99" s="1"/>
      <c r="U99" s="1"/>
    </row>
    <row r="100" spans="1:21" ht="15.75" x14ac:dyDescent="0.25">
      <c r="A100" s="43">
        <f>IF(H21="","",'Исходные данные'!A20)</f>
        <v>2</v>
      </c>
      <c r="B100" s="134" t="str">
        <f t="shared" ref="B100:B128" si="18">IF(H21="","",IF(OR(H21&gt;W21,H21&lt;V21),"Да","—"))</f>
        <v>—</v>
      </c>
      <c r="C100" s="96"/>
      <c r="D100" s="96"/>
      <c r="E100" s="152" t="s">
        <v>36</v>
      </c>
      <c r="F100" s="143"/>
      <c r="G100" s="134" t="s">
        <v>36</v>
      </c>
      <c r="H100" s="96"/>
      <c r="I100" s="28" t="s">
        <v>36</v>
      </c>
      <c r="J100" s="28" t="s">
        <v>36</v>
      </c>
      <c r="K100" s="134" t="s">
        <v>36</v>
      </c>
      <c r="L100" s="96"/>
      <c r="Q100" s="1"/>
      <c r="R100" s="1"/>
      <c r="S100" s="1"/>
      <c r="T100" s="1"/>
      <c r="U100" s="1"/>
    </row>
    <row r="101" spans="1:21" ht="15.75" x14ac:dyDescent="0.25">
      <c r="A101" s="43">
        <f>IF(H22="","",'Исходные данные'!A21)</f>
        <v>3</v>
      </c>
      <c r="B101" s="134" t="str">
        <f t="shared" si="18"/>
        <v>—</v>
      </c>
      <c r="C101" s="96"/>
      <c r="D101" s="96"/>
      <c r="E101" s="152" t="s">
        <v>36</v>
      </c>
      <c r="F101" s="143"/>
      <c r="G101" s="134" t="s">
        <v>36</v>
      </c>
      <c r="H101" s="96"/>
      <c r="I101" s="28" t="str">
        <f>IF(H22="","",IF(OR(AND(ABS(H20)&gt;$L$16,ABS(H21)&gt;$L$16),AND(ABS(H21)&gt;$L$16,ABS(H22)&gt;$L$16),AND(ABS(H20)&gt;$L$16,ABS(H22)&gt;$L$16)),"Да","—"))</f>
        <v>—</v>
      </c>
      <c r="J101" s="28" t="s">
        <v>36</v>
      </c>
      <c r="K101" s="134" t="s">
        <v>36</v>
      </c>
      <c r="L101" s="96"/>
      <c r="Q101" s="1"/>
      <c r="R101" s="1"/>
      <c r="S101" s="1"/>
      <c r="T101" s="1"/>
      <c r="U101" s="1"/>
    </row>
    <row r="102" spans="1:21" ht="15.75" x14ac:dyDescent="0.25">
      <c r="A102" s="43">
        <f>IF(H23="","",'Исходные данные'!A22)</f>
        <v>4</v>
      </c>
      <c r="B102" s="134" t="str">
        <f t="shared" si="18"/>
        <v>—</v>
      </c>
      <c r="C102" s="96"/>
      <c r="D102" s="96"/>
      <c r="E102" s="152" t="s">
        <v>36</v>
      </c>
      <c r="F102" s="143"/>
      <c r="G102" s="134" t="s">
        <v>36</v>
      </c>
      <c r="H102" s="96"/>
      <c r="I102" s="34" t="str">
        <f t="shared" ref="I102:I128" si="19">IF(H23="","",IF(OR(AND(ABS(H21)&gt;$L$16,ABS(H22)&gt;$L$16),AND(ABS(H22)&gt;$L$16,ABS(H23)&gt;$L$16),AND(ABS(H21)&gt;$L$16,ABS(H23)&gt;$L$16)),"Да","—"))</f>
        <v>—</v>
      </c>
      <c r="J102" s="28" t="s">
        <v>36</v>
      </c>
      <c r="K102" s="134" t="s">
        <v>36</v>
      </c>
      <c r="L102" s="96"/>
      <c r="Q102" s="1"/>
      <c r="R102" s="1"/>
      <c r="S102" s="1"/>
      <c r="T102" s="1"/>
      <c r="U102" s="1"/>
    </row>
    <row r="103" spans="1:21" ht="15.75" x14ac:dyDescent="0.25">
      <c r="A103" s="43">
        <f>IF(H24="","",'Исходные данные'!A23)</f>
        <v>5</v>
      </c>
      <c r="B103" s="134" t="str">
        <f t="shared" si="18"/>
        <v>—</v>
      </c>
      <c r="C103" s="96"/>
      <c r="D103" s="96"/>
      <c r="E103" s="152" t="s">
        <v>36</v>
      </c>
      <c r="F103" s="143"/>
      <c r="G103" s="134" t="s">
        <v>36</v>
      </c>
      <c r="H103" s="96"/>
      <c r="I103" s="34" t="str">
        <f t="shared" si="19"/>
        <v>—</v>
      </c>
      <c r="J103" s="28" t="str">
        <f>IF(H24="","",IF(OR(OR(AND(H20&gt;$L$16/2,H21&gt;$L$16/2,H22&gt;$L$16/2,H23&gt;$L$16/2),AND(H20&gt;$L$16/2,H21&gt;$L$16/2,H22&gt;$L$16/2,H24&gt;$L$16/2),AND(H20&gt;$L$16/2,H21&gt;$L$16/2,H23&gt;$L$16/2,H24&gt;$L$16/2),AND(H20&gt;$L$16/2,H22&gt;$L$16/2,H23&gt;$L$16/2,H24&gt;$L$16/2),AND(H21&gt;$L$16/2,H22&gt;$L$16/2,H23&gt;$L$16/2,H24&gt;$L$16/2)),OR(AND(H20&lt;$K$16/2,H21&lt;$K$16/2,H22&lt;$K$16/2,H23&lt;$K$16/2),AND(H20&lt;$K$16/2,H21&lt;$K$16/2,H22&lt;$K$16/2,H24&lt;$K$16/2),AND(H20&lt;$K$16/2,H21&lt;$K$16/2,H23&lt;$K$16/2,H24&lt;$K$16/2),AND(H20&lt;$K$16/2,H22&lt;$K$16/2,H23&lt;$K$16/2,H24&lt;$K$16/2),AND(H21&lt;$K$16/2,H22&lt;$K$16/2,H23&lt;$K$16/2,H24&lt;$K$16/2))),"Да","—"))</f>
        <v>—</v>
      </c>
      <c r="K103" s="134" t="s">
        <v>36</v>
      </c>
      <c r="L103" s="96"/>
      <c r="Q103" s="1"/>
      <c r="R103" s="1"/>
      <c r="S103" s="1"/>
      <c r="T103" s="1"/>
      <c r="U103" s="1"/>
    </row>
    <row r="104" spans="1:21" ht="15.75" x14ac:dyDescent="0.25">
      <c r="A104" s="43">
        <f>IF(H25="","",'Исходные данные'!A24)</f>
        <v>6</v>
      </c>
      <c r="B104" s="134" t="str">
        <f t="shared" si="18"/>
        <v>—</v>
      </c>
      <c r="C104" s="96"/>
      <c r="D104" s="96"/>
      <c r="E104" s="152" t="s">
        <v>36</v>
      </c>
      <c r="F104" s="143"/>
      <c r="G104" s="134" t="str">
        <f>IF(H25="","",IF(OR(AND(H20&lt;H21,H21&lt;H22,H22&lt;H23,H23&lt;H24,H24&lt;H25),AND(H20&gt;H21,H21&gt;H22,H22&gt;H23,H23&gt;H24,H24&gt;H25)),"Да","—"))</f>
        <v>—</v>
      </c>
      <c r="H104" s="96"/>
      <c r="I104" s="34" t="str">
        <f t="shared" si="19"/>
        <v>—</v>
      </c>
      <c r="J104" s="34" t="str">
        <f t="shared" ref="J104:J128" si="20">IF(H25="","",IF(OR(OR(AND(H21&gt;$L$16/2,H22&gt;$L$16/2,H23&gt;$L$16/2,H24&gt;$L$16/2),AND(H21&gt;$L$16/2,H22&gt;$L$16/2,H23&gt;$L$16/2,H25&gt;$L$16/2),AND(H21&gt;$L$16/2,H22&gt;$L$16/2,H24&gt;$L$16/2,H25&gt;$L$16/2),AND(H21&gt;$L$16/2,H23&gt;$L$16/2,H24&gt;$L$16/2,H25&gt;$L$16/2),AND(H22&gt;$L$16/2,H23&gt;$L$16/2,H24&gt;$L$16/2,H25&gt;$L$16/2)),OR(AND(H21&lt;$K$16/2,H22&lt;$K$16/2,H23&lt;$K$16/2,H24&lt;$K$16/2),AND(H21&lt;$K$16/2,H22&lt;$K$16/2,H23&lt;$K$16/2,H25&lt;$K$16/2),AND(H21&lt;$K$16/2,H22&lt;$K$16/2,H24&lt;$K$16/2,H25&lt;$K$16/2),AND(H21&lt;$K$16/2,H23&lt;$K$16/2,H24&lt;$K$16/2,H25&lt;$K$16/2),AND(H22&lt;$K$16/2,H23&lt;$K$16/2,H24&lt;$K$16/2,H25&lt;$K$16/2))),"Да","—"))</f>
        <v>—</v>
      </c>
      <c r="K104" s="134" t="s">
        <v>36</v>
      </c>
      <c r="L104" s="96"/>
      <c r="Q104" s="1"/>
      <c r="R104" s="1"/>
      <c r="S104" s="1"/>
      <c r="T104" s="1"/>
      <c r="U104" s="1"/>
    </row>
    <row r="105" spans="1:21" ht="15.75" x14ac:dyDescent="0.25">
      <c r="A105" s="43">
        <f>IF(H26="","",'Исходные данные'!A25)</f>
        <v>7</v>
      </c>
      <c r="B105" s="134" t="str">
        <f t="shared" si="18"/>
        <v>—</v>
      </c>
      <c r="C105" s="96"/>
      <c r="D105" s="96"/>
      <c r="E105" s="152" t="s">
        <v>36</v>
      </c>
      <c r="F105" s="143"/>
      <c r="G105" s="134" t="str">
        <f t="shared" ref="G105:G128" si="21">IF(H26="","",IF(OR(AND(H21&lt;H22,H22&lt;H23,H23&lt;H24,H24&lt;H25,H25&lt;H26),AND(H21&gt;H22,H22&gt;H23,H23&gt;H24,H24&gt;H25,H25&gt;H26)),"Да","—"))</f>
        <v>—</v>
      </c>
      <c r="H105" s="96"/>
      <c r="I105" s="34" t="str">
        <f t="shared" si="19"/>
        <v>—</v>
      </c>
      <c r="J105" s="34" t="str">
        <f t="shared" si="20"/>
        <v>—</v>
      </c>
      <c r="K105" s="134" t="s">
        <v>36</v>
      </c>
      <c r="L105" s="96"/>
      <c r="Q105" s="1"/>
      <c r="R105" s="1"/>
      <c r="S105" s="1"/>
      <c r="T105" s="1"/>
      <c r="U105" s="1"/>
    </row>
    <row r="106" spans="1:21" ht="15.75" x14ac:dyDescent="0.25">
      <c r="A106" s="43">
        <f>IF(H27="","",'Исходные данные'!A26)</f>
        <v>8</v>
      </c>
      <c r="B106" s="134" t="str">
        <f t="shared" si="18"/>
        <v>—</v>
      </c>
      <c r="C106" s="96"/>
      <c r="D106" s="96"/>
      <c r="E106" s="152" t="s">
        <v>36</v>
      </c>
      <c r="F106" s="143"/>
      <c r="G106" s="134" t="str">
        <f t="shared" si="21"/>
        <v>—</v>
      </c>
      <c r="H106" s="96"/>
      <c r="I106" s="34" t="str">
        <f t="shared" si="19"/>
        <v>—</v>
      </c>
      <c r="J106" s="34" t="str">
        <f t="shared" si="20"/>
        <v>—</v>
      </c>
      <c r="K106" s="134" t="str">
        <f>IF(H27="","",IF(AND(ABS(H20)&gt;$L$16/2,ABS(H21)&gt;$L$16/2,ABS(H22)&gt;$L$16/2,ABS(H23)&gt;$L$16/2,ABS(H24)&gt;$L$16/2,ABS(H25)&gt;$L$16/2,ABS(H26)&gt;$L$16/2,ABS(H27)&gt;$L$16/2),"Да","—"))</f>
        <v>—</v>
      </c>
      <c r="L106" s="96"/>
      <c r="Q106" s="1"/>
      <c r="R106" s="1"/>
      <c r="S106" s="1"/>
      <c r="T106" s="1"/>
      <c r="U106" s="1"/>
    </row>
    <row r="107" spans="1:21" ht="15.75" x14ac:dyDescent="0.25">
      <c r="A107" s="43">
        <f>IF(H28="","",'Исходные данные'!A27)</f>
        <v>9</v>
      </c>
      <c r="B107" s="134" t="str">
        <f t="shared" si="18"/>
        <v>—</v>
      </c>
      <c r="C107" s="96"/>
      <c r="D107" s="96"/>
      <c r="E107" s="143" t="str">
        <f>IF(H28="","",IF(OR(AND(H20&gt;$K$17,H21&gt;$K$17,H22&gt;$K$17,H23&gt;$K$17,H24&gt;$K$17,H25&gt;$K$17,H26&gt;$K$17,H27&gt;$K$17,H28&gt;$K$17),AND(H20&lt;$K$17,H21&lt;$K$17,H22&lt;$K$17,H23&lt;$K$17,H24&lt;$K$17,H25&lt;$K$17,H26&lt;$K$17,H27&lt;$K$17,H28&lt;$K$17)),"Да","—"))</f>
        <v>—</v>
      </c>
      <c r="F107" s="143"/>
      <c r="G107" s="134" t="str">
        <f t="shared" si="21"/>
        <v>—</v>
      </c>
      <c r="H107" s="96"/>
      <c r="I107" s="34" t="str">
        <f t="shared" si="19"/>
        <v>—</v>
      </c>
      <c r="J107" s="34" t="str">
        <f t="shared" si="20"/>
        <v>—</v>
      </c>
      <c r="K107" s="134" t="str">
        <f t="shared" ref="K107:K128" si="22">IF(H28="","",IF(AND(ABS(H21)&gt;$L$16/2,ABS(H22)&gt;$L$16/2,ABS(H23)&gt;$L$16/2,ABS(H24)&gt;$L$16/2,ABS(H25)&gt;$L$16/2,ABS(H26)&gt;$L$16/2,ABS(H27)&gt;$L$16/2,ABS(H28)&gt;$L$16/2),"Да","—"))</f>
        <v>—</v>
      </c>
      <c r="L107" s="96"/>
      <c r="Q107" s="1"/>
      <c r="R107" s="1"/>
      <c r="S107" s="1"/>
      <c r="T107" s="1"/>
      <c r="U107" s="1"/>
    </row>
    <row r="108" spans="1:21" ht="15.75" x14ac:dyDescent="0.25">
      <c r="A108" s="43">
        <f>IF(H29="","",'Исходные данные'!A28)</f>
        <v>10</v>
      </c>
      <c r="B108" s="134" t="str">
        <f t="shared" si="18"/>
        <v>—</v>
      </c>
      <c r="C108" s="96"/>
      <c r="D108" s="96"/>
      <c r="E108" s="143" t="str">
        <f t="shared" ref="E108:E128" si="23">IF(H29="","",IF(OR(AND(H21&gt;$K$17,H22&gt;$K$17,H23&gt;$K$17,H24&gt;$K$17,H25&gt;$K$17,H26&gt;$K$17,H27&gt;$K$17,H28&gt;$K$17,H29&gt;$K$17),AND(H21&lt;$K$17,H22&lt;$K$17,H23&lt;$K$17,H24&lt;$K$17,H25&lt;$K$17,H26&lt;$K$17,H27&lt;$K$17,H28&lt;$K$17,H29&lt;$K$17)),"Да","—"))</f>
        <v>—</v>
      </c>
      <c r="F108" s="143"/>
      <c r="G108" s="134" t="str">
        <f t="shared" si="21"/>
        <v>—</v>
      </c>
      <c r="H108" s="96"/>
      <c r="I108" s="34" t="str">
        <f t="shared" si="19"/>
        <v>—</v>
      </c>
      <c r="J108" s="34" t="str">
        <f t="shared" si="20"/>
        <v>—</v>
      </c>
      <c r="K108" s="134" t="str">
        <f t="shared" si="22"/>
        <v>—</v>
      </c>
      <c r="L108" s="96"/>
      <c r="Q108" s="1"/>
      <c r="R108" s="1"/>
      <c r="S108" s="1"/>
      <c r="T108" s="1"/>
      <c r="U108" s="1"/>
    </row>
    <row r="109" spans="1:21" ht="15.75" x14ac:dyDescent="0.25">
      <c r="A109" s="43">
        <f>IF(H30="","",'Исходные данные'!A29)</f>
        <v>11</v>
      </c>
      <c r="B109" s="134" t="str">
        <f t="shared" si="18"/>
        <v>—</v>
      </c>
      <c r="C109" s="96"/>
      <c r="D109" s="96"/>
      <c r="E109" s="143" t="str">
        <f t="shared" si="23"/>
        <v>—</v>
      </c>
      <c r="F109" s="143"/>
      <c r="G109" s="134" t="str">
        <f t="shared" si="21"/>
        <v>—</v>
      </c>
      <c r="H109" s="96"/>
      <c r="I109" s="34" t="str">
        <f t="shared" si="19"/>
        <v>—</v>
      </c>
      <c r="J109" s="34" t="str">
        <f t="shared" si="20"/>
        <v>—</v>
      </c>
      <c r="K109" s="134" t="str">
        <f t="shared" si="22"/>
        <v>—</v>
      </c>
      <c r="L109" s="96"/>
      <c r="Q109" s="1"/>
      <c r="R109" s="1"/>
      <c r="S109" s="1"/>
      <c r="T109" s="1"/>
      <c r="U109" s="1"/>
    </row>
    <row r="110" spans="1:21" ht="15.75" x14ac:dyDescent="0.25">
      <c r="A110" s="43">
        <f>IF(H31="","",'Исходные данные'!A30)</f>
        <v>12</v>
      </c>
      <c r="B110" s="134" t="str">
        <f t="shared" si="18"/>
        <v>—</v>
      </c>
      <c r="C110" s="96"/>
      <c r="D110" s="96"/>
      <c r="E110" s="143" t="str">
        <f t="shared" si="23"/>
        <v>—</v>
      </c>
      <c r="F110" s="143"/>
      <c r="G110" s="134" t="str">
        <f t="shared" si="21"/>
        <v>—</v>
      </c>
      <c r="H110" s="96"/>
      <c r="I110" s="34" t="str">
        <f t="shared" si="19"/>
        <v>Да</v>
      </c>
      <c r="J110" s="34" t="str">
        <f t="shared" si="20"/>
        <v>—</v>
      </c>
      <c r="K110" s="134" t="str">
        <f t="shared" si="22"/>
        <v>—</v>
      </c>
      <c r="L110" s="96"/>
      <c r="Q110" s="1"/>
      <c r="R110" s="1"/>
      <c r="S110" s="1"/>
      <c r="T110" s="1"/>
      <c r="U110" s="1"/>
    </row>
    <row r="111" spans="1:21" ht="15.75" x14ac:dyDescent="0.25">
      <c r="A111" s="43">
        <f>IF(H32="","",'Исходные данные'!A31)</f>
        <v>13</v>
      </c>
      <c r="B111" s="134" t="str">
        <f t="shared" si="18"/>
        <v>—</v>
      </c>
      <c r="C111" s="96"/>
      <c r="D111" s="96"/>
      <c r="E111" s="143" t="str">
        <f t="shared" si="23"/>
        <v>—</v>
      </c>
      <c r="F111" s="143"/>
      <c r="G111" s="134" t="str">
        <f t="shared" si="21"/>
        <v>—</v>
      </c>
      <c r="H111" s="96"/>
      <c r="I111" s="34" t="str">
        <f t="shared" si="19"/>
        <v>—</v>
      </c>
      <c r="J111" s="34" t="str">
        <f t="shared" si="20"/>
        <v>—</v>
      </c>
      <c r="K111" s="134" t="str">
        <f t="shared" si="22"/>
        <v>—</v>
      </c>
      <c r="L111" s="96"/>
      <c r="Q111" s="1"/>
      <c r="R111" s="1"/>
      <c r="S111" s="1"/>
      <c r="T111" s="1"/>
      <c r="U111" s="1"/>
    </row>
    <row r="112" spans="1:21" ht="15.75" x14ac:dyDescent="0.25">
      <c r="A112" s="43">
        <f>IF(H33="","",'Исходные данные'!A32)</f>
        <v>14</v>
      </c>
      <c r="B112" s="134" t="str">
        <f t="shared" si="18"/>
        <v>—</v>
      </c>
      <c r="C112" s="96"/>
      <c r="D112" s="96"/>
      <c r="E112" s="143" t="str">
        <f t="shared" si="23"/>
        <v>—</v>
      </c>
      <c r="F112" s="143"/>
      <c r="G112" s="134" t="str">
        <f t="shared" si="21"/>
        <v>—</v>
      </c>
      <c r="H112" s="96"/>
      <c r="I112" s="34" t="str">
        <f t="shared" si="19"/>
        <v>—</v>
      </c>
      <c r="J112" s="34" t="str">
        <f t="shared" si="20"/>
        <v>—</v>
      </c>
      <c r="K112" s="134" t="str">
        <f t="shared" si="22"/>
        <v>—</v>
      </c>
      <c r="L112" s="96"/>
      <c r="Q112" s="1"/>
      <c r="R112" s="1"/>
      <c r="S112" s="1"/>
      <c r="T112" s="1"/>
      <c r="U112" s="1"/>
    </row>
    <row r="113" spans="1:21" ht="15.75" x14ac:dyDescent="0.25">
      <c r="A113" s="43">
        <f>IF(H34="","",'Исходные данные'!A33)</f>
        <v>15</v>
      </c>
      <c r="B113" s="134" t="str">
        <f t="shared" si="18"/>
        <v>—</v>
      </c>
      <c r="C113" s="96"/>
      <c r="D113" s="96"/>
      <c r="E113" s="143" t="str">
        <f t="shared" si="23"/>
        <v>—</v>
      </c>
      <c r="F113" s="143"/>
      <c r="G113" s="134" t="str">
        <f t="shared" si="21"/>
        <v>—</v>
      </c>
      <c r="H113" s="96"/>
      <c r="I113" s="34" t="str">
        <f t="shared" si="19"/>
        <v>—</v>
      </c>
      <c r="J113" s="34" t="str">
        <f t="shared" si="20"/>
        <v>—</v>
      </c>
      <c r="K113" s="134" t="str">
        <f t="shared" si="22"/>
        <v>—</v>
      </c>
      <c r="L113" s="96"/>
      <c r="Q113" s="1"/>
      <c r="R113" s="1"/>
      <c r="S113" s="1"/>
      <c r="T113" s="1"/>
      <c r="U113" s="1"/>
    </row>
    <row r="114" spans="1:21" ht="15.75" x14ac:dyDescent="0.25">
      <c r="A114" s="43">
        <f>IF(H35="","",'Исходные данные'!A34)</f>
        <v>16</v>
      </c>
      <c r="B114" s="134" t="str">
        <f t="shared" si="18"/>
        <v>—</v>
      </c>
      <c r="C114" s="96"/>
      <c r="D114" s="96"/>
      <c r="E114" s="143" t="str">
        <f t="shared" si="23"/>
        <v>—</v>
      </c>
      <c r="F114" s="143"/>
      <c r="G114" s="134" t="str">
        <f t="shared" si="21"/>
        <v>—</v>
      </c>
      <c r="H114" s="96"/>
      <c r="I114" s="34" t="str">
        <f t="shared" si="19"/>
        <v>—</v>
      </c>
      <c r="J114" s="34" t="str">
        <f t="shared" si="20"/>
        <v>—</v>
      </c>
      <c r="K114" s="134" t="str">
        <f t="shared" si="22"/>
        <v>—</v>
      </c>
      <c r="L114" s="96"/>
      <c r="Q114" s="1"/>
      <c r="R114" s="1"/>
      <c r="S114" s="1"/>
      <c r="T114" s="1"/>
      <c r="U114" s="1"/>
    </row>
    <row r="115" spans="1:21" ht="15.75" x14ac:dyDescent="0.25">
      <c r="A115" s="43">
        <f>IF(H36="","",'Исходные данные'!A35)</f>
        <v>17</v>
      </c>
      <c r="B115" s="134" t="str">
        <f t="shared" si="18"/>
        <v>—</v>
      </c>
      <c r="C115" s="96"/>
      <c r="D115" s="96"/>
      <c r="E115" s="143" t="str">
        <f t="shared" si="23"/>
        <v>—</v>
      </c>
      <c r="F115" s="143"/>
      <c r="G115" s="134" t="str">
        <f t="shared" si="21"/>
        <v>—</v>
      </c>
      <c r="H115" s="96"/>
      <c r="I115" s="34" t="str">
        <f t="shared" si="19"/>
        <v>—</v>
      </c>
      <c r="J115" s="34" t="str">
        <f t="shared" si="20"/>
        <v>—</v>
      </c>
      <c r="K115" s="134" t="str">
        <f t="shared" si="22"/>
        <v>—</v>
      </c>
      <c r="L115" s="96"/>
      <c r="Q115" s="1"/>
      <c r="R115" s="1"/>
      <c r="S115" s="1"/>
      <c r="T115" s="1"/>
      <c r="U115" s="1"/>
    </row>
    <row r="116" spans="1:21" ht="15.75" x14ac:dyDescent="0.25">
      <c r="A116" s="43">
        <f>IF(H37="","",'Исходные данные'!A36)</f>
        <v>18</v>
      </c>
      <c r="B116" s="134" t="str">
        <f t="shared" si="18"/>
        <v>—</v>
      </c>
      <c r="C116" s="96"/>
      <c r="D116" s="96"/>
      <c r="E116" s="143" t="str">
        <f t="shared" si="23"/>
        <v>—</v>
      </c>
      <c r="F116" s="143"/>
      <c r="G116" s="134" t="str">
        <f t="shared" si="21"/>
        <v>—</v>
      </c>
      <c r="H116" s="96"/>
      <c r="I116" s="34" t="str">
        <f t="shared" si="19"/>
        <v>—</v>
      </c>
      <c r="J116" s="34" t="str">
        <f t="shared" si="20"/>
        <v>—</v>
      </c>
      <c r="K116" s="134" t="str">
        <f t="shared" si="22"/>
        <v>—</v>
      </c>
      <c r="L116" s="96"/>
      <c r="Q116" s="1"/>
      <c r="R116" s="1"/>
      <c r="S116" s="1"/>
      <c r="T116" s="1"/>
      <c r="U116" s="1"/>
    </row>
    <row r="117" spans="1:21" ht="15.75" x14ac:dyDescent="0.25">
      <c r="A117" s="43">
        <f>IF(H38="","",'Исходные данные'!A37)</f>
        <v>19</v>
      </c>
      <c r="B117" s="134" t="str">
        <f t="shared" si="18"/>
        <v>—</v>
      </c>
      <c r="C117" s="96"/>
      <c r="D117" s="96"/>
      <c r="E117" s="143" t="str">
        <f t="shared" si="23"/>
        <v>—</v>
      </c>
      <c r="F117" s="143"/>
      <c r="G117" s="134" t="str">
        <f t="shared" si="21"/>
        <v>Да</v>
      </c>
      <c r="H117" s="96"/>
      <c r="I117" s="34" t="str">
        <f t="shared" si="19"/>
        <v>—</v>
      </c>
      <c r="J117" s="34" t="str">
        <f t="shared" si="20"/>
        <v>—</v>
      </c>
      <c r="K117" s="134" t="str">
        <f t="shared" si="22"/>
        <v>—</v>
      </c>
      <c r="L117" s="96"/>
      <c r="Q117" s="1"/>
      <c r="R117" s="1"/>
      <c r="S117" s="1"/>
      <c r="T117" s="1"/>
      <c r="U117" s="1"/>
    </row>
    <row r="118" spans="1:21" ht="15.75" x14ac:dyDescent="0.25">
      <c r="A118" s="43">
        <f>IF(H39="","",'Исходные данные'!A38)</f>
        <v>20</v>
      </c>
      <c r="B118" s="134" t="str">
        <f t="shared" si="18"/>
        <v>—</v>
      </c>
      <c r="C118" s="96"/>
      <c r="D118" s="96"/>
      <c r="E118" s="143" t="str">
        <f t="shared" si="23"/>
        <v>—</v>
      </c>
      <c r="F118" s="143"/>
      <c r="G118" s="134" t="str">
        <f t="shared" si="21"/>
        <v>Да</v>
      </c>
      <c r="H118" s="96"/>
      <c r="I118" s="34" t="str">
        <f t="shared" si="19"/>
        <v>—</v>
      </c>
      <c r="J118" s="34" t="str">
        <f t="shared" si="20"/>
        <v>—</v>
      </c>
      <c r="K118" s="134" t="str">
        <f t="shared" si="22"/>
        <v>—</v>
      </c>
      <c r="L118" s="96"/>
      <c r="Q118" s="1"/>
      <c r="R118" s="1"/>
      <c r="S118" s="1"/>
      <c r="T118" s="1"/>
      <c r="U118" s="1"/>
    </row>
    <row r="119" spans="1:21" ht="15.75" x14ac:dyDescent="0.25">
      <c r="A119" s="43">
        <f>IF(H40="","",'Исходные данные'!A39)</f>
        <v>21</v>
      </c>
      <c r="B119" s="134" t="str">
        <f t="shared" si="18"/>
        <v>—</v>
      </c>
      <c r="C119" s="96"/>
      <c r="D119" s="96"/>
      <c r="E119" s="143" t="str">
        <f t="shared" si="23"/>
        <v>—</v>
      </c>
      <c r="F119" s="143"/>
      <c r="G119" s="134" t="str">
        <f t="shared" si="21"/>
        <v>—</v>
      </c>
      <c r="H119" s="96"/>
      <c r="I119" s="34" t="str">
        <f t="shared" si="19"/>
        <v>—</v>
      </c>
      <c r="J119" s="34" t="str">
        <f t="shared" si="20"/>
        <v>—</v>
      </c>
      <c r="K119" s="134" t="str">
        <f t="shared" si="22"/>
        <v>—</v>
      </c>
      <c r="L119" s="96"/>
      <c r="Q119" s="1"/>
      <c r="R119" s="1"/>
      <c r="S119" s="1"/>
      <c r="T119" s="1"/>
      <c r="U119" s="1"/>
    </row>
    <row r="120" spans="1:21" ht="15.75" x14ac:dyDescent="0.25">
      <c r="A120" s="43">
        <f>IF(H41="","",'Исходные данные'!A40)</f>
        <v>22</v>
      </c>
      <c r="B120" s="134" t="str">
        <f t="shared" si="18"/>
        <v>—</v>
      </c>
      <c r="C120" s="96"/>
      <c r="D120" s="96"/>
      <c r="E120" s="143" t="str">
        <f t="shared" si="23"/>
        <v>—</v>
      </c>
      <c r="F120" s="143"/>
      <c r="G120" s="134" t="str">
        <f t="shared" si="21"/>
        <v>—</v>
      </c>
      <c r="H120" s="96"/>
      <c r="I120" s="34" t="str">
        <f t="shared" si="19"/>
        <v>—</v>
      </c>
      <c r="J120" s="34" t="str">
        <f t="shared" si="20"/>
        <v>—</v>
      </c>
      <c r="K120" s="134" t="str">
        <f t="shared" si="22"/>
        <v>—</v>
      </c>
      <c r="L120" s="96"/>
      <c r="Q120" s="1"/>
      <c r="R120" s="1"/>
      <c r="S120" s="1"/>
      <c r="T120" s="1"/>
      <c r="U120" s="1"/>
    </row>
    <row r="121" spans="1:21" ht="15.75" x14ac:dyDescent="0.25">
      <c r="A121" s="43">
        <f>IF(H42="","",'Исходные данные'!A41)</f>
        <v>23</v>
      </c>
      <c r="B121" s="134" t="str">
        <f t="shared" si="18"/>
        <v>—</v>
      </c>
      <c r="C121" s="96"/>
      <c r="D121" s="96"/>
      <c r="E121" s="143" t="str">
        <f t="shared" si="23"/>
        <v>—</v>
      </c>
      <c r="F121" s="143"/>
      <c r="G121" s="134" t="str">
        <f t="shared" si="21"/>
        <v>—</v>
      </c>
      <c r="H121" s="96"/>
      <c r="I121" s="34" t="str">
        <f t="shared" si="19"/>
        <v>—</v>
      </c>
      <c r="J121" s="34" t="str">
        <f t="shared" si="20"/>
        <v>—</v>
      </c>
      <c r="K121" s="134" t="str">
        <f t="shared" si="22"/>
        <v>—</v>
      </c>
      <c r="L121" s="96"/>
      <c r="Q121" s="1"/>
      <c r="R121" s="1"/>
      <c r="S121" s="1"/>
      <c r="T121" s="1"/>
      <c r="U121" s="1"/>
    </row>
    <row r="122" spans="1:21" ht="15.75" x14ac:dyDescent="0.25">
      <c r="A122" s="43">
        <f>IF(H43="","",'Исходные данные'!A42)</f>
        <v>24</v>
      </c>
      <c r="B122" s="134" t="str">
        <f t="shared" si="18"/>
        <v>—</v>
      </c>
      <c r="C122" s="96"/>
      <c r="D122" s="96"/>
      <c r="E122" s="143" t="str">
        <f t="shared" si="23"/>
        <v>—</v>
      </c>
      <c r="F122" s="143"/>
      <c r="G122" s="134" t="str">
        <f t="shared" si="21"/>
        <v>—</v>
      </c>
      <c r="H122" s="96"/>
      <c r="I122" s="34" t="str">
        <f t="shared" si="19"/>
        <v>—</v>
      </c>
      <c r="J122" s="34" t="str">
        <f t="shared" si="20"/>
        <v>—</v>
      </c>
      <c r="K122" s="134" t="str">
        <f t="shared" si="22"/>
        <v>—</v>
      </c>
      <c r="L122" s="96"/>
      <c r="Q122" s="1"/>
      <c r="R122" s="1"/>
      <c r="S122" s="1"/>
      <c r="T122" s="1"/>
      <c r="U122" s="1"/>
    </row>
    <row r="123" spans="1:21" ht="15.75" x14ac:dyDescent="0.25">
      <c r="A123" s="43">
        <f>IF(H44="","",'Исходные данные'!A43)</f>
        <v>25</v>
      </c>
      <c r="B123" s="134" t="str">
        <f t="shared" si="18"/>
        <v>—</v>
      </c>
      <c r="C123" s="96"/>
      <c r="D123" s="96"/>
      <c r="E123" s="143" t="str">
        <f t="shared" si="23"/>
        <v>—</v>
      </c>
      <c r="F123" s="143"/>
      <c r="G123" s="134" t="str">
        <f t="shared" si="21"/>
        <v>—</v>
      </c>
      <c r="H123" s="96"/>
      <c r="I123" s="34" t="str">
        <f t="shared" si="19"/>
        <v>—</v>
      </c>
      <c r="J123" s="34" t="str">
        <f t="shared" si="20"/>
        <v>—</v>
      </c>
      <c r="K123" s="134" t="str">
        <f t="shared" si="22"/>
        <v>—</v>
      </c>
      <c r="L123" s="96"/>
      <c r="Q123" s="1"/>
      <c r="R123" s="1"/>
      <c r="S123" s="1"/>
      <c r="T123" s="1"/>
      <c r="U123" s="1"/>
    </row>
    <row r="124" spans="1:21" ht="15.75" x14ac:dyDescent="0.25">
      <c r="A124" s="43">
        <f>IF(H45="","",'Исходные данные'!A44)</f>
        <v>26</v>
      </c>
      <c r="B124" s="134" t="str">
        <f t="shared" si="18"/>
        <v>—</v>
      </c>
      <c r="C124" s="96"/>
      <c r="D124" s="96"/>
      <c r="E124" s="143" t="str">
        <f t="shared" si="23"/>
        <v>—</v>
      </c>
      <c r="F124" s="143"/>
      <c r="G124" s="134" t="str">
        <f t="shared" si="21"/>
        <v>—</v>
      </c>
      <c r="H124" s="96"/>
      <c r="I124" s="34" t="str">
        <f t="shared" si="19"/>
        <v>—</v>
      </c>
      <c r="J124" s="34" t="str">
        <f t="shared" si="20"/>
        <v>—</v>
      </c>
      <c r="K124" s="134" t="str">
        <f t="shared" si="22"/>
        <v>—</v>
      </c>
      <c r="L124" s="96"/>
      <c r="Q124" s="1"/>
      <c r="R124" s="1"/>
      <c r="S124" s="1"/>
      <c r="T124" s="1"/>
      <c r="U124" s="1"/>
    </row>
    <row r="125" spans="1:21" ht="15.75" x14ac:dyDescent="0.25">
      <c r="A125" s="43">
        <f>IF(H46="","",'Исходные данные'!A45)</f>
        <v>27</v>
      </c>
      <c r="B125" s="134" t="str">
        <f t="shared" si="18"/>
        <v>—</v>
      </c>
      <c r="C125" s="96"/>
      <c r="D125" s="96"/>
      <c r="E125" s="143" t="str">
        <f t="shared" si="23"/>
        <v>—</v>
      </c>
      <c r="F125" s="143"/>
      <c r="G125" s="134" t="str">
        <f t="shared" si="21"/>
        <v>—</v>
      </c>
      <c r="H125" s="96"/>
      <c r="I125" s="34" t="str">
        <f t="shared" si="19"/>
        <v>—</v>
      </c>
      <c r="J125" s="34" t="str">
        <f t="shared" si="20"/>
        <v>—</v>
      </c>
      <c r="K125" s="134" t="str">
        <f t="shared" si="22"/>
        <v>—</v>
      </c>
      <c r="L125" s="96"/>
      <c r="Q125" s="1"/>
      <c r="R125" s="1"/>
      <c r="S125" s="1"/>
      <c r="T125" s="1"/>
      <c r="U125" s="1"/>
    </row>
    <row r="126" spans="1:21" ht="15.75" x14ac:dyDescent="0.25">
      <c r="A126" s="43">
        <f>IF(H47="","",'Исходные данные'!A46)</f>
        <v>28</v>
      </c>
      <c r="B126" s="134" t="str">
        <f t="shared" si="18"/>
        <v>—</v>
      </c>
      <c r="C126" s="96"/>
      <c r="D126" s="96"/>
      <c r="E126" s="143" t="str">
        <f t="shared" si="23"/>
        <v>—</v>
      </c>
      <c r="F126" s="143"/>
      <c r="G126" s="134" t="str">
        <f t="shared" si="21"/>
        <v>—</v>
      </c>
      <c r="H126" s="96"/>
      <c r="I126" s="34" t="str">
        <f t="shared" si="19"/>
        <v>—</v>
      </c>
      <c r="J126" s="34" t="str">
        <f t="shared" si="20"/>
        <v>—</v>
      </c>
      <c r="K126" s="134" t="str">
        <f t="shared" si="22"/>
        <v>—</v>
      </c>
      <c r="L126" s="96"/>
      <c r="Q126" s="1"/>
      <c r="R126" s="1"/>
      <c r="S126" s="1"/>
      <c r="T126" s="1"/>
      <c r="U126" s="1"/>
    </row>
    <row r="127" spans="1:21" ht="15.75" x14ac:dyDescent="0.25">
      <c r="A127" s="43">
        <f>IF(H48="","",'Исходные данные'!A47)</f>
        <v>29</v>
      </c>
      <c r="B127" s="134" t="str">
        <f t="shared" si="18"/>
        <v>—</v>
      </c>
      <c r="C127" s="96"/>
      <c r="D127" s="96"/>
      <c r="E127" s="143" t="str">
        <f t="shared" si="23"/>
        <v>—</v>
      </c>
      <c r="F127" s="143"/>
      <c r="G127" s="134" t="str">
        <f t="shared" si="21"/>
        <v>—</v>
      </c>
      <c r="H127" s="96"/>
      <c r="I127" s="34" t="str">
        <f t="shared" si="19"/>
        <v>—</v>
      </c>
      <c r="J127" s="34" t="str">
        <f t="shared" si="20"/>
        <v>—</v>
      </c>
      <c r="K127" s="134" t="str">
        <f t="shared" si="22"/>
        <v>—</v>
      </c>
      <c r="L127" s="96"/>
      <c r="Q127" s="1"/>
      <c r="R127" s="1"/>
      <c r="S127" s="1"/>
      <c r="T127" s="1"/>
      <c r="U127" s="1"/>
    </row>
    <row r="128" spans="1:21" ht="15.75" x14ac:dyDescent="0.25">
      <c r="A128" s="43">
        <f>IF(H49="","",'Исходные данные'!A48)</f>
        <v>30</v>
      </c>
      <c r="B128" s="134" t="str">
        <f t="shared" si="18"/>
        <v>—</v>
      </c>
      <c r="C128" s="96"/>
      <c r="D128" s="96"/>
      <c r="E128" s="143" t="str">
        <f t="shared" si="23"/>
        <v>—</v>
      </c>
      <c r="F128" s="143"/>
      <c r="G128" s="134" t="str">
        <f t="shared" si="21"/>
        <v>—</v>
      </c>
      <c r="H128" s="96"/>
      <c r="I128" s="34" t="str">
        <f t="shared" si="19"/>
        <v>—</v>
      </c>
      <c r="J128" s="34" t="str">
        <f t="shared" si="20"/>
        <v>—</v>
      </c>
      <c r="K128" s="134" t="str">
        <f t="shared" si="22"/>
        <v>—</v>
      </c>
      <c r="L128" s="96"/>
      <c r="Q128" s="1"/>
      <c r="R128" s="1"/>
      <c r="S128" s="1"/>
      <c r="T128" s="1"/>
      <c r="U128" s="1"/>
    </row>
    <row r="129" spans="1:21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24" customHeight="1" x14ac:dyDescent="0.25">
      <c r="A130" s="118" t="s">
        <v>50</v>
      </c>
      <c r="B130" s="119"/>
      <c r="C130" s="119"/>
      <c r="D130" s="119"/>
      <c r="E130" s="119"/>
      <c r="F130" s="119"/>
      <c r="G130" s="119"/>
      <c r="H130" s="119"/>
      <c r="I130" s="119"/>
      <c r="J130" s="119"/>
      <c r="K130" s="119"/>
      <c r="L130" s="120"/>
      <c r="M130" s="12"/>
      <c r="N130" s="12"/>
      <c r="O130" s="12"/>
      <c r="P130" s="1"/>
      <c r="Q130" s="1"/>
      <c r="R130" s="1"/>
      <c r="S130" s="1"/>
      <c r="T130" s="1"/>
      <c r="U130" s="1"/>
    </row>
    <row r="131" spans="1:21" ht="63.95" customHeight="1" x14ac:dyDescent="0.25">
      <c r="A131" s="30" t="s">
        <v>1</v>
      </c>
      <c r="B131" s="135" t="s">
        <v>31</v>
      </c>
      <c r="C131" s="135"/>
      <c r="D131" s="135"/>
      <c r="E131" s="135" t="s">
        <v>32</v>
      </c>
      <c r="F131" s="135"/>
      <c r="G131" s="135" t="s">
        <v>33</v>
      </c>
      <c r="H131" s="136"/>
      <c r="I131" s="30" t="s">
        <v>34</v>
      </c>
      <c r="J131" s="30" t="s">
        <v>35</v>
      </c>
      <c r="K131" s="122" t="s">
        <v>37</v>
      </c>
      <c r="L131" s="138"/>
      <c r="Q131" s="1"/>
      <c r="R131" s="1"/>
      <c r="S131" s="1"/>
      <c r="T131" s="1"/>
      <c r="U131" s="1"/>
    </row>
    <row r="132" spans="1:21" ht="15.75" x14ac:dyDescent="0.25">
      <c r="A132" s="27">
        <v>1</v>
      </c>
      <c r="B132" s="137" t="s">
        <v>36</v>
      </c>
      <c r="C132" s="96"/>
      <c r="D132" s="96"/>
      <c r="E132" s="175" t="s">
        <v>36</v>
      </c>
      <c r="F132" s="143"/>
      <c r="G132" s="134" t="s">
        <v>36</v>
      </c>
      <c r="H132" s="96"/>
      <c r="I132" s="28" t="s">
        <v>36</v>
      </c>
      <c r="J132" s="28" t="s">
        <v>36</v>
      </c>
      <c r="K132" s="139">
        <f>J17+(J16-J17)/2</f>
        <v>0.26</v>
      </c>
      <c r="L132" s="138"/>
      <c r="Q132" s="1"/>
      <c r="R132" s="1"/>
      <c r="S132" s="1"/>
      <c r="T132" s="1"/>
      <c r="U132" s="1"/>
    </row>
    <row r="133" spans="1:21" ht="15.75" x14ac:dyDescent="0.25">
      <c r="A133" s="27">
        <f>IF(G21="","",'Исходные данные'!A20)</f>
        <v>2</v>
      </c>
      <c r="B133" s="134" t="str">
        <f t="shared" ref="B133:B161" si="24">IF(G21="","",IF(G21&gt;R21,"Да","—"))</f>
        <v>—</v>
      </c>
      <c r="C133" s="96"/>
      <c r="D133" s="96"/>
      <c r="E133" s="152" t="s">
        <v>36</v>
      </c>
      <c r="F133" s="143"/>
      <c r="G133" s="134" t="s">
        <v>36</v>
      </c>
      <c r="H133" s="96"/>
      <c r="I133" s="28" t="s">
        <v>36</v>
      </c>
      <c r="J133" s="28" t="s">
        <v>36</v>
      </c>
      <c r="K133" s="15"/>
      <c r="L133" s="15"/>
      <c r="Q133" s="1"/>
      <c r="R133" s="1"/>
      <c r="S133" s="1"/>
      <c r="T133" s="1"/>
      <c r="U133" s="1"/>
    </row>
    <row r="134" spans="1:21" ht="15.75" x14ac:dyDescent="0.25">
      <c r="A134" s="43">
        <f>IF(G22="","",'Исходные данные'!A21)</f>
        <v>3</v>
      </c>
      <c r="B134" s="134" t="str">
        <f t="shared" si="24"/>
        <v>—</v>
      </c>
      <c r="C134" s="96"/>
      <c r="D134" s="96"/>
      <c r="E134" s="152" t="s">
        <v>36</v>
      </c>
      <c r="F134" s="143"/>
      <c r="G134" s="134" t="s">
        <v>36</v>
      </c>
      <c r="H134" s="96"/>
      <c r="I134" s="28" t="str">
        <f t="shared" ref="I134:I161" si="25">IF(G22="","",IF(OR(AND(G20&gt;$J$16,G21&gt;$J$16),AND(G21&gt;$J$16,G22&gt;$J$16),AND(G20&gt;$J$16,G22&gt;$J$16)),"Да","—"))</f>
        <v>—</v>
      </c>
      <c r="J134" s="28" t="s">
        <v>36</v>
      </c>
      <c r="K134" s="15"/>
      <c r="L134" s="15"/>
      <c r="P134" s="1"/>
      <c r="Q134" s="1"/>
      <c r="R134" s="1"/>
      <c r="S134" s="1"/>
      <c r="T134" s="1"/>
      <c r="U134" s="1"/>
    </row>
    <row r="135" spans="1:21" ht="15.75" x14ac:dyDescent="0.25">
      <c r="A135" s="43">
        <f>IF(G23="","",'Исходные данные'!A22)</f>
        <v>4</v>
      </c>
      <c r="B135" s="134" t="str">
        <f t="shared" si="24"/>
        <v>—</v>
      </c>
      <c r="C135" s="96"/>
      <c r="D135" s="96"/>
      <c r="E135" s="152" t="s">
        <v>36</v>
      </c>
      <c r="F135" s="143"/>
      <c r="G135" s="134" t="s">
        <v>36</v>
      </c>
      <c r="H135" s="96"/>
      <c r="I135" s="34" t="str">
        <f t="shared" si="25"/>
        <v>—</v>
      </c>
      <c r="J135" s="28" t="s">
        <v>36</v>
      </c>
      <c r="K135" s="15"/>
      <c r="L135" s="15"/>
      <c r="P135" s="1"/>
      <c r="Q135" s="1"/>
      <c r="R135" s="1"/>
      <c r="S135" s="1"/>
      <c r="T135" s="1"/>
      <c r="U135" s="1"/>
    </row>
    <row r="136" spans="1:21" ht="15.75" x14ac:dyDescent="0.25">
      <c r="A136" s="43">
        <f>IF(G24="","",'Исходные данные'!A23)</f>
        <v>5</v>
      </c>
      <c r="B136" s="134" t="str">
        <f t="shared" si="24"/>
        <v>—</v>
      </c>
      <c r="C136" s="96"/>
      <c r="D136" s="96"/>
      <c r="E136" s="152" t="s">
        <v>36</v>
      </c>
      <c r="F136" s="143"/>
      <c r="G136" s="134" t="s">
        <v>36</v>
      </c>
      <c r="H136" s="96"/>
      <c r="I136" s="34" t="str">
        <f t="shared" si="25"/>
        <v>—</v>
      </c>
      <c r="J136" s="28" t="str">
        <f t="shared" ref="J136:J161" si="26">IF(G24="","",IF(OR(AND(G20&gt;$K$132,G21&gt;$K$132,G22&gt;$K$132,G23&gt;$K$132),AND(G20&gt;$K$132,G21&gt;$K$132,G22&gt;$K$132,G24&gt;$K$132),AND(G20&gt;$K$132,G21&gt;$K$132,G23&gt;$K$132,G24&gt;$K$132),AND(G20&gt;$K$132,G22&gt;$K$132,G23&gt;$K$132,G24&gt;$K$132),AND(G21&gt;$K$132,G22&gt;$K$132,G23&gt;$K$132,G24&gt;$K$132)),"Да","—"))</f>
        <v>—</v>
      </c>
      <c r="K136" s="15"/>
      <c r="L136" s="15"/>
      <c r="P136" s="1"/>
      <c r="Q136" s="1"/>
      <c r="R136" s="1"/>
      <c r="S136" s="1"/>
      <c r="T136" s="1"/>
      <c r="U136" s="1"/>
    </row>
    <row r="137" spans="1:21" ht="15.75" x14ac:dyDescent="0.25">
      <c r="A137" s="43">
        <f>IF(G25="","",'Исходные данные'!A24)</f>
        <v>6</v>
      </c>
      <c r="B137" s="134" t="str">
        <f t="shared" si="24"/>
        <v>—</v>
      </c>
      <c r="C137" s="96"/>
      <c r="D137" s="96"/>
      <c r="E137" s="152" t="s">
        <v>36</v>
      </c>
      <c r="F137" s="143"/>
      <c r="G137" s="134" t="str">
        <f t="shared" ref="G137:G161" si="27">IF(G25="","",IF(AND(G20&lt;G21,G21&lt;G22,G22&lt;G23,G23&lt;G24,G24&lt;G25),"Да","—"))</f>
        <v>—</v>
      </c>
      <c r="H137" s="96"/>
      <c r="I137" s="34" t="str">
        <f t="shared" si="25"/>
        <v>—</v>
      </c>
      <c r="J137" s="34" t="str">
        <f t="shared" si="26"/>
        <v>—</v>
      </c>
      <c r="K137" s="15"/>
      <c r="L137" s="15"/>
      <c r="P137" s="1"/>
      <c r="Q137" s="1"/>
      <c r="R137" s="1"/>
      <c r="S137" s="1"/>
      <c r="T137" s="1"/>
      <c r="U137" s="1"/>
    </row>
    <row r="138" spans="1:21" ht="15.75" x14ac:dyDescent="0.25">
      <c r="A138" s="43">
        <f>IF(G26="","",'Исходные данные'!A25)</f>
        <v>7</v>
      </c>
      <c r="B138" s="134" t="str">
        <f t="shared" si="24"/>
        <v>—</v>
      </c>
      <c r="C138" s="96"/>
      <c r="D138" s="96"/>
      <c r="E138" s="152" t="s">
        <v>36</v>
      </c>
      <c r="F138" s="143"/>
      <c r="G138" s="134" t="str">
        <f t="shared" si="27"/>
        <v>—</v>
      </c>
      <c r="H138" s="96"/>
      <c r="I138" s="34" t="str">
        <f t="shared" si="25"/>
        <v>—</v>
      </c>
      <c r="J138" s="34" t="str">
        <f t="shared" si="26"/>
        <v>—</v>
      </c>
      <c r="K138" s="15"/>
      <c r="L138" s="15"/>
      <c r="P138" s="1"/>
      <c r="Q138" s="1"/>
      <c r="R138" s="1"/>
      <c r="S138" s="1"/>
      <c r="T138" s="1"/>
      <c r="U138" s="1"/>
    </row>
    <row r="139" spans="1:21" ht="15.75" x14ac:dyDescent="0.25">
      <c r="A139" s="43">
        <f>IF(G27="","",'Исходные данные'!A26)</f>
        <v>8</v>
      </c>
      <c r="B139" s="134" t="str">
        <f t="shared" si="24"/>
        <v>—</v>
      </c>
      <c r="C139" s="96"/>
      <c r="D139" s="96"/>
      <c r="E139" s="152" t="s">
        <v>36</v>
      </c>
      <c r="F139" s="143"/>
      <c r="G139" s="134" t="str">
        <f t="shared" si="27"/>
        <v>—</v>
      </c>
      <c r="H139" s="96"/>
      <c r="I139" s="34" t="str">
        <f t="shared" si="25"/>
        <v>—</v>
      </c>
      <c r="J139" s="34" t="str">
        <f t="shared" si="26"/>
        <v>—</v>
      </c>
      <c r="K139" s="15"/>
      <c r="L139" s="15"/>
      <c r="P139" s="1"/>
      <c r="Q139" s="1"/>
      <c r="R139" s="1"/>
      <c r="S139" s="1"/>
      <c r="T139" s="1"/>
      <c r="U139" s="1"/>
    </row>
    <row r="140" spans="1:21" ht="15.75" x14ac:dyDescent="0.25">
      <c r="A140" s="43">
        <f>IF(G28="","",'Исходные данные'!A27)</f>
        <v>9</v>
      </c>
      <c r="B140" s="134" t="str">
        <f t="shared" si="24"/>
        <v>—</v>
      </c>
      <c r="C140" s="96"/>
      <c r="D140" s="96"/>
      <c r="E140" s="143" t="str">
        <f t="shared" ref="E140:E161" si="28">IF(G28="","",IF(AND(G20&gt;$J$17,G21&gt;$J$17,G22&gt;$J$17,G23&gt;$J$17,G24&gt;$J$17,G25&gt;$J$17,G26&gt;$J$17,G27&gt;$J$17,G28&gt;$J$17),"Да","—"))</f>
        <v>—</v>
      </c>
      <c r="F140" s="143"/>
      <c r="G140" s="134" t="str">
        <f t="shared" si="27"/>
        <v>—</v>
      </c>
      <c r="H140" s="96"/>
      <c r="I140" s="34" t="str">
        <f t="shared" si="25"/>
        <v>—</v>
      </c>
      <c r="J140" s="34" t="str">
        <f t="shared" si="26"/>
        <v>—</v>
      </c>
      <c r="K140" s="15"/>
      <c r="L140" s="15"/>
      <c r="P140" s="1"/>
      <c r="Q140" s="1"/>
      <c r="R140" s="1"/>
      <c r="S140" s="1"/>
      <c r="T140" s="1"/>
      <c r="U140" s="1"/>
    </row>
    <row r="141" spans="1:21" ht="15.75" x14ac:dyDescent="0.25">
      <c r="A141" s="43">
        <f>IF(G29="","",'Исходные данные'!A28)</f>
        <v>10</v>
      </c>
      <c r="B141" s="134" t="str">
        <f t="shared" si="24"/>
        <v>—</v>
      </c>
      <c r="C141" s="96"/>
      <c r="D141" s="96"/>
      <c r="E141" s="143" t="str">
        <f t="shared" si="28"/>
        <v>—</v>
      </c>
      <c r="F141" s="143"/>
      <c r="G141" s="134" t="str">
        <f t="shared" si="27"/>
        <v>—</v>
      </c>
      <c r="H141" s="96"/>
      <c r="I141" s="34" t="str">
        <f t="shared" si="25"/>
        <v>—</v>
      </c>
      <c r="J141" s="34" t="str">
        <f t="shared" si="26"/>
        <v>—</v>
      </c>
      <c r="K141" s="15"/>
      <c r="L141" s="15"/>
      <c r="P141" s="1"/>
      <c r="Q141" s="1"/>
      <c r="R141" s="1"/>
      <c r="S141" s="1"/>
      <c r="T141" s="1"/>
      <c r="U141" s="1"/>
    </row>
    <row r="142" spans="1:21" ht="15.75" x14ac:dyDescent="0.25">
      <c r="A142" s="43">
        <f>IF(G30="","",'Исходные данные'!A29)</f>
        <v>11</v>
      </c>
      <c r="B142" s="134" t="str">
        <f t="shared" si="24"/>
        <v>—</v>
      </c>
      <c r="C142" s="96"/>
      <c r="D142" s="96"/>
      <c r="E142" s="143" t="str">
        <f t="shared" si="28"/>
        <v>—</v>
      </c>
      <c r="F142" s="143"/>
      <c r="G142" s="134" t="str">
        <f t="shared" si="27"/>
        <v>—</v>
      </c>
      <c r="H142" s="96"/>
      <c r="I142" s="34" t="str">
        <f t="shared" si="25"/>
        <v>—</v>
      </c>
      <c r="J142" s="34" t="str">
        <f t="shared" si="26"/>
        <v>—</v>
      </c>
      <c r="K142" s="15"/>
      <c r="L142" s="15"/>
      <c r="P142" s="1"/>
      <c r="Q142" s="1"/>
      <c r="R142" s="1"/>
      <c r="S142" s="1"/>
      <c r="T142" s="1"/>
      <c r="U142" s="1"/>
    </row>
    <row r="143" spans="1:21" ht="15.75" x14ac:dyDescent="0.25">
      <c r="A143" s="43">
        <f>IF(G31="","",'Исходные данные'!A30)</f>
        <v>12</v>
      </c>
      <c r="B143" s="134" t="str">
        <f t="shared" si="24"/>
        <v>—</v>
      </c>
      <c r="C143" s="96"/>
      <c r="D143" s="96"/>
      <c r="E143" s="143" t="str">
        <f t="shared" si="28"/>
        <v>—</v>
      </c>
      <c r="F143" s="143"/>
      <c r="G143" s="134" t="str">
        <f t="shared" si="27"/>
        <v>—</v>
      </c>
      <c r="H143" s="96"/>
      <c r="I143" s="34" t="str">
        <f t="shared" si="25"/>
        <v>—</v>
      </c>
      <c r="J143" s="34" t="str">
        <f t="shared" si="26"/>
        <v>—</v>
      </c>
      <c r="K143" s="15"/>
      <c r="L143" s="15"/>
      <c r="P143" s="1"/>
      <c r="Q143" s="1"/>
      <c r="R143" s="1"/>
      <c r="S143" s="1"/>
      <c r="T143" s="1"/>
      <c r="U143" s="1"/>
    </row>
    <row r="144" spans="1:21" ht="15.75" x14ac:dyDescent="0.25">
      <c r="A144" s="43">
        <f>IF(G32="","",'Исходные данные'!A31)</f>
        <v>13</v>
      </c>
      <c r="B144" s="134" t="str">
        <f t="shared" si="24"/>
        <v>—</v>
      </c>
      <c r="C144" s="96"/>
      <c r="D144" s="96"/>
      <c r="E144" s="143" t="str">
        <f t="shared" si="28"/>
        <v>—</v>
      </c>
      <c r="F144" s="143"/>
      <c r="G144" s="134" t="str">
        <f t="shared" si="27"/>
        <v>—</v>
      </c>
      <c r="H144" s="96"/>
      <c r="I144" s="34" t="str">
        <f t="shared" si="25"/>
        <v>—</v>
      </c>
      <c r="J144" s="34" t="str">
        <f t="shared" si="26"/>
        <v>—</v>
      </c>
      <c r="K144" s="15"/>
      <c r="L144" s="15"/>
      <c r="P144" s="1"/>
      <c r="Q144" s="1"/>
      <c r="R144" s="1"/>
      <c r="S144" s="1"/>
      <c r="T144" s="1"/>
      <c r="U144" s="1"/>
    </row>
    <row r="145" spans="1:21" ht="15.75" x14ac:dyDescent="0.25">
      <c r="A145" s="43">
        <f>IF(G33="","",'Исходные данные'!A32)</f>
        <v>14</v>
      </c>
      <c r="B145" s="134" t="str">
        <f t="shared" si="24"/>
        <v>—</v>
      </c>
      <c r="C145" s="96"/>
      <c r="D145" s="96"/>
      <c r="E145" s="143" t="str">
        <f t="shared" si="28"/>
        <v>—</v>
      </c>
      <c r="F145" s="143"/>
      <c r="G145" s="134" t="str">
        <f t="shared" si="27"/>
        <v>—</v>
      </c>
      <c r="H145" s="96"/>
      <c r="I145" s="34" t="str">
        <f t="shared" si="25"/>
        <v>—</v>
      </c>
      <c r="J145" s="34" t="str">
        <f t="shared" si="26"/>
        <v>—</v>
      </c>
      <c r="K145" s="15"/>
      <c r="L145" s="15"/>
      <c r="P145" s="1"/>
      <c r="Q145" s="1"/>
      <c r="R145" s="1"/>
      <c r="S145" s="1"/>
      <c r="T145" s="1"/>
      <c r="U145" s="1"/>
    </row>
    <row r="146" spans="1:21" ht="15.75" x14ac:dyDescent="0.25">
      <c r="A146" s="43">
        <f>IF(G34="","",'Исходные данные'!A33)</f>
        <v>15</v>
      </c>
      <c r="B146" s="134" t="str">
        <f t="shared" si="24"/>
        <v>—</v>
      </c>
      <c r="C146" s="96"/>
      <c r="D146" s="96"/>
      <c r="E146" s="143" t="str">
        <f t="shared" si="28"/>
        <v>—</v>
      </c>
      <c r="F146" s="143"/>
      <c r="G146" s="134" t="str">
        <f t="shared" si="27"/>
        <v>—</v>
      </c>
      <c r="H146" s="96"/>
      <c r="I146" s="34" t="str">
        <f t="shared" si="25"/>
        <v>—</v>
      </c>
      <c r="J146" s="34" t="str">
        <f t="shared" si="26"/>
        <v>—</v>
      </c>
      <c r="K146" s="15"/>
      <c r="L146" s="15"/>
      <c r="P146" s="1"/>
      <c r="Q146" s="1"/>
      <c r="R146" s="1"/>
      <c r="S146" s="1"/>
      <c r="T146" s="1"/>
      <c r="U146" s="1"/>
    </row>
    <row r="147" spans="1:21" ht="15.75" x14ac:dyDescent="0.25">
      <c r="A147" s="43">
        <f>IF(G35="","",'Исходные данные'!A34)</f>
        <v>16</v>
      </c>
      <c r="B147" s="134" t="str">
        <f t="shared" si="24"/>
        <v>—</v>
      </c>
      <c r="C147" s="96"/>
      <c r="D147" s="96"/>
      <c r="E147" s="143" t="str">
        <f t="shared" si="28"/>
        <v>—</v>
      </c>
      <c r="F147" s="143"/>
      <c r="G147" s="134" t="str">
        <f t="shared" si="27"/>
        <v>—</v>
      </c>
      <c r="H147" s="96"/>
      <c r="I147" s="34" t="str">
        <f t="shared" si="25"/>
        <v>—</v>
      </c>
      <c r="J147" s="34" t="str">
        <f t="shared" si="26"/>
        <v>—</v>
      </c>
      <c r="K147" s="15"/>
      <c r="L147" s="15"/>
      <c r="P147" s="1"/>
      <c r="Q147" s="1"/>
      <c r="R147" s="1"/>
      <c r="S147" s="1"/>
      <c r="T147" s="1"/>
      <c r="U147" s="1"/>
    </row>
    <row r="148" spans="1:21" ht="15.75" x14ac:dyDescent="0.25">
      <c r="A148" s="43">
        <f>IF(G36="","",'Исходные данные'!A35)</f>
        <v>17</v>
      </c>
      <c r="B148" s="134" t="str">
        <f t="shared" si="24"/>
        <v>—</v>
      </c>
      <c r="C148" s="96"/>
      <c r="D148" s="96"/>
      <c r="E148" s="143" t="str">
        <f t="shared" si="28"/>
        <v>—</v>
      </c>
      <c r="F148" s="143"/>
      <c r="G148" s="134" t="str">
        <f t="shared" si="27"/>
        <v>—</v>
      </c>
      <c r="H148" s="96"/>
      <c r="I148" s="34" t="str">
        <f t="shared" si="25"/>
        <v>—</v>
      </c>
      <c r="J148" s="34" t="str">
        <f t="shared" si="26"/>
        <v>—</v>
      </c>
      <c r="K148" s="15"/>
      <c r="L148" s="15"/>
      <c r="P148" s="1"/>
      <c r="Q148" s="1"/>
      <c r="R148" s="1"/>
      <c r="S148" s="1"/>
      <c r="T148" s="1"/>
      <c r="U148" s="1"/>
    </row>
    <row r="149" spans="1:21" ht="15.75" x14ac:dyDescent="0.25">
      <c r="A149" s="43">
        <f>IF(G37="","",'Исходные данные'!A36)</f>
        <v>18</v>
      </c>
      <c r="B149" s="134" t="str">
        <f t="shared" si="24"/>
        <v>—</v>
      </c>
      <c r="C149" s="96"/>
      <c r="D149" s="96"/>
      <c r="E149" s="143" t="str">
        <f t="shared" si="28"/>
        <v>—</v>
      </c>
      <c r="F149" s="143"/>
      <c r="G149" s="134" t="str">
        <f t="shared" si="27"/>
        <v>—</v>
      </c>
      <c r="H149" s="96"/>
      <c r="I149" s="34" t="str">
        <f t="shared" si="25"/>
        <v>—</v>
      </c>
      <c r="J149" s="34" t="str">
        <f t="shared" si="26"/>
        <v>—</v>
      </c>
      <c r="K149" s="15"/>
      <c r="L149" s="15"/>
      <c r="P149" s="1"/>
      <c r="Q149" s="1"/>
      <c r="R149" s="1"/>
      <c r="S149" s="1"/>
      <c r="T149" s="1"/>
      <c r="U149" s="1"/>
    </row>
    <row r="150" spans="1:21" ht="15.75" x14ac:dyDescent="0.25">
      <c r="A150" s="43">
        <f>IF(G38="","",'Исходные данные'!A37)</f>
        <v>19</v>
      </c>
      <c r="B150" s="134" t="str">
        <f t="shared" si="24"/>
        <v>—</v>
      </c>
      <c r="C150" s="96"/>
      <c r="D150" s="96"/>
      <c r="E150" s="143" t="str">
        <f t="shared" si="28"/>
        <v>—</v>
      </c>
      <c r="F150" s="143"/>
      <c r="G150" s="134" t="str">
        <f t="shared" si="27"/>
        <v>—</v>
      </c>
      <c r="H150" s="96"/>
      <c r="I150" s="34" t="str">
        <f t="shared" si="25"/>
        <v>—</v>
      </c>
      <c r="J150" s="34" t="str">
        <f t="shared" si="26"/>
        <v>—</v>
      </c>
      <c r="K150" s="15"/>
      <c r="L150" s="15"/>
      <c r="P150" s="1"/>
      <c r="Q150" s="1"/>
      <c r="R150" s="1"/>
      <c r="S150" s="1"/>
      <c r="T150" s="1"/>
      <c r="U150" s="1"/>
    </row>
    <row r="151" spans="1:21" ht="15.75" x14ac:dyDescent="0.25">
      <c r="A151" s="43">
        <f>IF(G39="","",'Исходные данные'!A38)</f>
        <v>20</v>
      </c>
      <c r="B151" s="134" t="str">
        <f t="shared" si="24"/>
        <v>—</v>
      </c>
      <c r="C151" s="96"/>
      <c r="D151" s="96"/>
      <c r="E151" s="143" t="str">
        <f t="shared" si="28"/>
        <v>—</v>
      </c>
      <c r="F151" s="143"/>
      <c r="G151" s="134" t="str">
        <f t="shared" si="27"/>
        <v>—</v>
      </c>
      <c r="H151" s="96"/>
      <c r="I151" s="34" t="str">
        <f t="shared" si="25"/>
        <v>—</v>
      </c>
      <c r="J151" s="34" t="str">
        <f t="shared" si="26"/>
        <v>—</v>
      </c>
      <c r="K151" s="15"/>
      <c r="L151" s="15"/>
      <c r="P151" s="1"/>
      <c r="Q151" s="1"/>
      <c r="R151" s="1"/>
      <c r="S151" s="1"/>
      <c r="T151" s="1"/>
      <c r="U151" s="1"/>
    </row>
    <row r="152" spans="1:21" ht="15.75" x14ac:dyDescent="0.25">
      <c r="A152" s="43">
        <f>IF(G40="","",'Исходные данные'!A39)</f>
        <v>21</v>
      </c>
      <c r="B152" s="134" t="str">
        <f t="shared" si="24"/>
        <v>—</v>
      </c>
      <c r="C152" s="96"/>
      <c r="D152" s="96"/>
      <c r="E152" s="143" t="str">
        <f t="shared" si="28"/>
        <v>—</v>
      </c>
      <c r="F152" s="143"/>
      <c r="G152" s="134" t="str">
        <f t="shared" si="27"/>
        <v>—</v>
      </c>
      <c r="H152" s="96"/>
      <c r="I152" s="34" t="str">
        <f t="shared" si="25"/>
        <v>—</v>
      </c>
      <c r="J152" s="34" t="str">
        <f t="shared" si="26"/>
        <v>—</v>
      </c>
      <c r="K152" s="15"/>
      <c r="L152" s="15"/>
      <c r="P152" s="1"/>
      <c r="Q152" s="1"/>
      <c r="R152" s="1"/>
      <c r="S152" s="1"/>
      <c r="T152" s="1"/>
      <c r="U152" s="1"/>
    </row>
    <row r="153" spans="1:21" ht="15.75" x14ac:dyDescent="0.25">
      <c r="A153" s="43">
        <f>IF(G41="","",'Исходные данные'!A40)</f>
        <v>22</v>
      </c>
      <c r="B153" s="134" t="str">
        <f t="shared" si="24"/>
        <v>—</v>
      </c>
      <c r="C153" s="96"/>
      <c r="D153" s="96"/>
      <c r="E153" s="143" t="str">
        <f t="shared" si="28"/>
        <v>—</v>
      </c>
      <c r="F153" s="143"/>
      <c r="G153" s="134" t="str">
        <f t="shared" si="27"/>
        <v>—</v>
      </c>
      <c r="H153" s="96"/>
      <c r="I153" s="34" t="str">
        <f t="shared" si="25"/>
        <v>—</v>
      </c>
      <c r="J153" s="34" t="str">
        <f t="shared" si="26"/>
        <v>—</v>
      </c>
      <c r="K153" s="15"/>
      <c r="L153" s="15"/>
      <c r="P153" s="1"/>
      <c r="Q153" s="1"/>
      <c r="R153" s="1"/>
      <c r="S153" s="1"/>
      <c r="T153" s="1"/>
      <c r="U153" s="1"/>
    </row>
    <row r="154" spans="1:21" ht="15.75" x14ac:dyDescent="0.25">
      <c r="A154" s="43">
        <f>IF(G42="","",'Исходные данные'!A41)</f>
        <v>23</v>
      </c>
      <c r="B154" s="134" t="str">
        <f t="shared" si="24"/>
        <v>—</v>
      </c>
      <c r="C154" s="96"/>
      <c r="D154" s="96"/>
      <c r="E154" s="143" t="str">
        <f t="shared" si="28"/>
        <v>—</v>
      </c>
      <c r="F154" s="143"/>
      <c r="G154" s="134" t="str">
        <f t="shared" si="27"/>
        <v>—</v>
      </c>
      <c r="H154" s="96"/>
      <c r="I154" s="34" t="str">
        <f t="shared" si="25"/>
        <v>—</v>
      </c>
      <c r="J154" s="34" t="str">
        <f t="shared" si="26"/>
        <v>—</v>
      </c>
      <c r="K154" s="15"/>
      <c r="L154" s="15"/>
      <c r="P154" s="1"/>
      <c r="Q154" s="1"/>
      <c r="R154" s="1"/>
      <c r="S154" s="1"/>
      <c r="T154" s="1"/>
      <c r="U154" s="1"/>
    </row>
    <row r="155" spans="1:21" ht="15.75" x14ac:dyDescent="0.25">
      <c r="A155" s="43">
        <f>IF(G43="","",'Исходные данные'!A42)</f>
        <v>24</v>
      </c>
      <c r="B155" s="134" t="str">
        <f t="shared" si="24"/>
        <v>—</v>
      </c>
      <c r="C155" s="96"/>
      <c r="D155" s="96"/>
      <c r="E155" s="143" t="str">
        <f t="shared" si="28"/>
        <v>—</v>
      </c>
      <c r="F155" s="143"/>
      <c r="G155" s="134" t="str">
        <f t="shared" si="27"/>
        <v>—</v>
      </c>
      <c r="H155" s="96"/>
      <c r="I155" s="34" t="str">
        <f t="shared" si="25"/>
        <v>—</v>
      </c>
      <c r="J155" s="34" t="str">
        <f t="shared" si="26"/>
        <v>—</v>
      </c>
      <c r="K155" s="15"/>
      <c r="L155" s="15"/>
      <c r="P155" s="1"/>
      <c r="Q155" s="1"/>
      <c r="R155" s="1"/>
      <c r="S155" s="1"/>
      <c r="T155" s="1"/>
      <c r="U155" s="1"/>
    </row>
    <row r="156" spans="1:21" ht="15.75" x14ac:dyDescent="0.25">
      <c r="A156" s="43">
        <f>IF(G44="","",'Исходные данные'!A43)</f>
        <v>25</v>
      </c>
      <c r="B156" s="134" t="str">
        <f t="shared" si="24"/>
        <v>—</v>
      </c>
      <c r="C156" s="96"/>
      <c r="D156" s="96"/>
      <c r="E156" s="143" t="str">
        <f t="shared" si="28"/>
        <v>—</v>
      </c>
      <c r="F156" s="143"/>
      <c r="G156" s="134" t="str">
        <f t="shared" si="27"/>
        <v>—</v>
      </c>
      <c r="H156" s="96"/>
      <c r="I156" s="34" t="str">
        <f t="shared" si="25"/>
        <v>—</v>
      </c>
      <c r="J156" s="34" t="str">
        <f t="shared" si="26"/>
        <v>—</v>
      </c>
      <c r="K156" s="15"/>
      <c r="L156" s="15"/>
      <c r="P156" s="1"/>
      <c r="Q156" s="1"/>
      <c r="R156" s="1"/>
      <c r="S156" s="1"/>
      <c r="T156" s="1"/>
      <c r="U156" s="1"/>
    </row>
    <row r="157" spans="1:21" ht="15.75" x14ac:dyDescent="0.25">
      <c r="A157" s="43">
        <f>IF(G45="","",'Исходные данные'!A44)</f>
        <v>26</v>
      </c>
      <c r="B157" s="134" t="str">
        <f t="shared" si="24"/>
        <v>—</v>
      </c>
      <c r="C157" s="96"/>
      <c r="D157" s="96"/>
      <c r="E157" s="143" t="str">
        <f t="shared" si="28"/>
        <v>—</v>
      </c>
      <c r="F157" s="143"/>
      <c r="G157" s="134" t="str">
        <f t="shared" si="27"/>
        <v>—</v>
      </c>
      <c r="H157" s="96"/>
      <c r="I157" s="34" t="str">
        <f t="shared" si="25"/>
        <v>—</v>
      </c>
      <c r="J157" s="34" t="str">
        <f t="shared" si="26"/>
        <v>—</v>
      </c>
      <c r="K157" s="15"/>
      <c r="L157" s="15"/>
      <c r="P157" s="1"/>
      <c r="Q157" s="1"/>
      <c r="R157" s="1"/>
      <c r="S157" s="1"/>
      <c r="T157" s="1"/>
      <c r="U157" s="1"/>
    </row>
    <row r="158" spans="1:21" ht="15.75" x14ac:dyDescent="0.25">
      <c r="A158" s="43">
        <f>IF(G46="","",'Исходные данные'!A45)</f>
        <v>27</v>
      </c>
      <c r="B158" s="134" t="str">
        <f t="shared" si="24"/>
        <v>—</v>
      </c>
      <c r="C158" s="96"/>
      <c r="D158" s="96"/>
      <c r="E158" s="143" t="str">
        <f t="shared" si="28"/>
        <v>—</v>
      </c>
      <c r="F158" s="143"/>
      <c r="G158" s="134" t="str">
        <f t="shared" si="27"/>
        <v>—</v>
      </c>
      <c r="H158" s="96"/>
      <c r="I158" s="34" t="str">
        <f t="shared" si="25"/>
        <v>—</v>
      </c>
      <c r="J158" s="34" t="str">
        <f t="shared" si="26"/>
        <v>—</v>
      </c>
      <c r="K158" s="15"/>
      <c r="L158" s="15"/>
      <c r="P158" s="1"/>
      <c r="Q158" s="1"/>
      <c r="R158" s="1"/>
      <c r="S158" s="1"/>
      <c r="T158" s="1"/>
      <c r="U158" s="1"/>
    </row>
    <row r="159" spans="1:21" ht="15.75" x14ac:dyDescent="0.25">
      <c r="A159" s="43">
        <f>IF(G47="","",'Исходные данные'!A46)</f>
        <v>28</v>
      </c>
      <c r="B159" s="134" t="str">
        <f t="shared" si="24"/>
        <v>—</v>
      </c>
      <c r="C159" s="96"/>
      <c r="D159" s="96"/>
      <c r="E159" s="143" t="str">
        <f t="shared" si="28"/>
        <v>—</v>
      </c>
      <c r="F159" s="143"/>
      <c r="G159" s="134" t="str">
        <f t="shared" si="27"/>
        <v>—</v>
      </c>
      <c r="H159" s="96"/>
      <c r="I159" s="34" t="str">
        <f t="shared" si="25"/>
        <v>—</v>
      </c>
      <c r="J159" s="34" t="str">
        <f t="shared" si="26"/>
        <v>—</v>
      </c>
      <c r="K159" s="15"/>
      <c r="L159" s="15"/>
      <c r="P159" s="1"/>
      <c r="Q159" s="1"/>
      <c r="R159" s="1"/>
      <c r="S159" s="1"/>
      <c r="T159" s="1"/>
      <c r="U159" s="1"/>
    </row>
    <row r="160" spans="1:21" ht="15.75" x14ac:dyDescent="0.25">
      <c r="A160" s="43">
        <f>IF(G48="","",'Исходные данные'!A47)</f>
        <v>29</v>
      </c>
      <c r="B160" s="134" t="str">
        <f t="shared" si="24"/>
        <v>—</v>
      </c>
      <c r="C160" s="96"/>
      <c r="D160" s="96"/>
      <c r="E160" s="143" t="str">
        <f t="shared" si="28"/>
        <v>—</v>
      </c>
      <c r="F160" s="143"/>
      <c r="G160" s="134" t="str">
        <f t="shared" si="27"/>
        <v>—</v>
      </c>
      <c r="H160" s="96"/>
      <c r="I160" s="34" t="str">
        <f t="shared" si="25"/>
        <v>—</v>
      </c>
      <c r="J160" s="34" t="str">
        <f t="shared" si="26"/>
        <v>—</v>
      </c>
      <c r="K160" s="15"/>
      <c r="L160" s="15"/>
      <c r="P160" s="1"/>
      <c r="Q160" s="1"/>
      <c r="R160" s="1"/>
      <c r="S160" s="1"/>
      <c r="T160" s="1"/>
      <c r="U160" s="1"/>
    </row>
    <row r="161" spans="1:21" ht="15.75" x14ac:dyDescent="0.25">
      <c r="A161" s="43">
        <f>IF(G49="","",'Исходные данные'!A48)</f>
        <v>30</v>
      </c>
      <c r="B161" s="134" t="str">
        <f t="shared" si="24"/>
        <v>—</v>
      </c>
      <c r="C161" s="96"/>
      <c r="D161" s="96"/>
      <c r="E161" s="143" t="str">
        <f t="shared" si="28"/>
        <v>—</v>
      </c>
      <c r="F161" s="143"/>
      <c r="G161" s="134" t="str">
        <f t="shared" si="27"/>
        <v>—</v>
      </c>
      <c r="H161" s="96"/>
      <c r="I161" s="34" t="str">
        <f t="shared" si="25"/>
        <v>—</v>
      </c>
      <c r="J161" s="34" t="str">
        <f t="shared" si="26"/>
        <v>—</v>
      </c>
      <c r="K161" s="15"/>
      <c r="L161" s="15"/>
      <c r="P161" s="1"/>
      <c r="Q161" s="1"/>
      <c r="R161" s="1"/>
      <c r="S161" s="1"/>
      <c r="T161" s="1"/>
      <c r="U161" s="1"/>
    </row>
    <row r="162" spans="1:21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24" customHeight="1" x14ac:dyDescent="0.25">
      <c r="A163" s="118" t="s">
        <v>51</v>
      </c>
      <c r="B163" s="119"/>
      <c r="C163" s="119"/>
      <c r="D163" s="119"/>
      <c r="E163" s="119"/>
      <c r="F163" s="119"/>
      <c r="G163" s="119"/>
      <c r="H163" s="119"/>
      <c r="I163" s="119"/>
      <c r="J163" s="119"/>
      <c r="K163" s="119"/>
      <c r="L163" s="120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63.95" customHeight="1" x14ac:dyDescent="0.25">
      <c r="A164" s="31" t="s">
        <v>1</v>
      </c>
      <c r="B164" s="132" t="s">
        <v>31</v>
      </c>
      <c r="C164" s="133"/>
      <c r="D164" s="133"/>
      <c r="E164" s="132" t="s">
        <v>32</v>
      </c>
      <c r="F164" s="154"/>
      <c r="G164" s="132" t="s">
        <v>33</v>
      </c>
      <c r="H164" s="133"/>
      <c r="I164" s="31" t="s">
        <v>34</v>
      </c>
      <c r="J164" s="31" t="s">
        <v>35</v>
      </c>
      <c r="K164" s="128" t="s">
        <v>37</v>
      </c>
      <c r="L164" s="100"/>
      <c r="Q164" s="1"/>
      <c r="R164" s="1"/>
      <c r="S164" s="1"/>
      <c r="T164" s="1"/>
      <c r="U164" s="1"/>
    </row>
    <row r="165" spans="1:21" ht="15.75" x14ac:dyDescent="0.25">
      <c r="A165" s="32">
        <f>IF(F20="","",'Исходные данные'!A19)</f>
        <v>1</v>
      </c>
      <c r="B165" s="131" t="str">
        <f t="shared" ref="B165:B194" si="29">IF(F20="","",IF(F20&gt;O20,"Да","—"))</f>
        <v>—</v>
      </c>
      <c r="C165" s="98"/>
      <c r="D165" s="98"/>
      <c r="E165" s="153" t="s">
        <v>36</v>
      </c>
      <c r="F165" s="151"/>
      <c r="G165" s="127" t="s">
        <v>36</v>
      </c>
      <c r="H165" s="98"/>
      <c r="I165" s="14" t="s">
        <v>36</v>
      </c>
      <c r="J165" s="14" t="s">
        <v>36</v>
      </c>
      <c r="K165" s="129">
        <f>I17+(I16-I17)/2</f>
        <v>0.26</v>
      </c>
      <c r="L165" s="130"/>
      <c r="Q165" s="1"/>
      <c r="R165" s="1"/>
      <c r="S165" s="1"/>
      <c r="T165" s="1"/>
      <c r="U165" s="1"/>
    </row>
    <row r="166" spans="1:21" ht="15.75" x14ac:dyDescent="0.25">
      <c r="A166" s="32">
        <f>IF(F21="","",'Исходные данные'!A20)</f>
        <v>2</v>
      </c>
      <c r="B166" s="131" t="str">
        <f t="shared" si="29"/>
        <v>—</v>
      </c>
      <c r="C166" s="98"/>
      <c r="D166" s="98"/>
      <c r="E166" s="153" t="s">
        <v>36</v>
      </c>
      <c r="F166" s="151"/>
      <c r="G166" s="127" t="s">
        <v>36</v>
      </c>
      <c r="H166" s="98"/>
      <c r="I166" s="14" t="s">
        <v>36</v>
      </c>
      <c r="J166" s="14" t="s">
        <v>36</v>
      </c>
      <c r="P166" s="1"/>
      <c r="Q166" s="1"/>
      <c r="R166" s="1"/>
      <c r="S166" s="1"/>
      <c r="T166" s="1"/>
      <c r="U166" s="1"/>
    </row>
    <row r="167" spans="1:21" ht="15.75" x14ac:dyDescent="0.25">
      <c r="A167" s="32">
        <f>IF(F22="","",'Исходные данные'!A21)</f>
        <v>3</v>
      </c>
      <c r="B167" s="131" t="str">
        <f t="shared" si="29"/>
        <v>—</v>
      </c>
      <c r="C167" s="98"/>
      <c r="D167" s="98"/>
      <c r="E167" s="153" t="s">
        <v>36</v>
      </c>
      <c r="F167" s="151"/>
      <c r="G167" s="127" t="s">
        <v>36</v>
      </c>
      <c r="H167" s="98"/>
      <c r="I167" s="13" t="str">
        <f t="shared" ref="I167:I194" si="30">IF(F22="","",IF(OR(AND(F20&gt;$I$16,F21&gt;$I$16),AND(F21&gt;$I$16,F22&gt;$I$16),AND(F20&gt;$I$16,F22&gt;$I$16)),"Да","—"))</f>
        <v>—</v>
      </c>
      <c r="J167" s="14" t="s">
        <v>36</v>
      </c>
      <c r="P167" s="1"/>
      <c r="Q167" s="1"/>
      <c r="R167" s="1"/>
      <c r="S167" s="1"/>
      <c r="T167" s="1"/>
      <c r="U167" s="1"/>
    </row>
    <row r="168" spans="1:21" ht="15.75" x14ac:dyDescent="0.25">
      <c r="A168" s="32">
        <f>IF(F23="","",'Исходные данные'!A22)</f>
        <v>4</v>
      </c>
      <c r="B168" s="131" t="str">
        <f t="shared" si="29"/>
        <v>—</v>
      </c>
      <c r="C168" s="98"/>
      <c r="D168" s="98"/>
      <c r="E168" s="153" t="s">
        <v>36</v>
      </c>
      <c r="F168" s="151"/>
      <c r="G168" s="127" t="s">
        <v>36</v>
      </c>
      <c r="H168" s="98"/>
      <c r="I168" s="33" t="str">
        <f t="shared" si="30"/>
        <v>—</v>
      </c>
      <c r="J168" s="14" t="s">
        <v>36</v>
      </c>
      <c r="P168" s="1"/>
      <c r="Q168" s="1"/>
      <c r="R168" s="1"/>
      <c r="S168" s="1"/>
      <c r="T168" s="1"/>
      <c r="U168" s="1"/>
    </row>
    <row r="169" spans="1:21" ht="15.75" x14ac:dyDescent="0.25">
      <c r="A169" s="32">
        <f>IF(F24="","",'Исходные данные'!A23)</f>
        <v>5</v>
      </c>
      <c r="B169" s="131" t="str">
        <f t="shared" si="29"/>
        <v>—</v>
      </c>
      <c r="C169" s="98"/>
      <c r="D169" s="98"/>
      <c r="E169" s="153" t="s">
        <v>36</v>
      </c>
      <c r="F169" s="151"/>
      <c r="G169" s="127" t="s">
        <v>36</v>
      </c>
      <c r="H169" s="98"/>
      <c r="I169" s="33" t="str">
        <f t="shared" si="30"/>
        <v>—</v>
      </c>
      <c r="J169" s="13" t="str">
        <f t="shared" ref="J169:J194" si="31">IF(F24="","",IF(OR(AND(F20&gt;$K$165,F21&gt;$K$165,F22&gt;$K$165,F23&gt;$K$165),AND(F20&gt;$K$165,F21&gt;$K$165,F22&gt;$K$165,F24&gt;$K$165),AND(F20&gt;$K$165,F21&gt;$K$165,F23&gt;$K$165,F24&gt;$K$165),AND(F20&gt;$K$165,F22&gt;$K$165,F23&gt;$K$165,F24&gt;$K$165),AND(F21&gt;$K$165,F22&gt;$K$165,F23&gt;$K$165,F24&gt;$K$165)),"Да","—"))</f>
        <v>—</v>
      </c>
      <c r="P169" s="1"/>
      <c r="Q169" s="1"/>
      <c r="R169" s="1"/>
      <c r="S169" s="1"/>
      <c r="T169" s="1"/>
      <c r="U169" s="1"/>
    </row>
    <row r="170" spans="1:21" ht="15.75" x14ac:dyDescent="0.25">
      <c r="A170" s="32">
        <f>IF(F25="","",'Исходные данные'!A24)</f>
        <v>6</v>
      </c>
      <c r="B170" s="131" t="str">
        <f t="shared" si="29"/>
        <v>—</v>
      </c>
      <c r="C170" s="98"/>
      <c r="D170" s="98"/>
      <c r="E170" s="153" t="s">
        <v>36</v>
      </c>
      <c r="F170" s="151"/>
      <c r="G170" s="127" t="str">
        <f t="shared" ref="G170:G194" si="32">IF(F25="","",IF(AND(F20&lt;F21,F21&lt;F22,F22&lt;F23,F23&lt;F24,F24&lt;F25),"Да","—"))</f>
        <v>—</v>
      </c>
      <c r="H170" s="98"/>
      <c r="I170" s="33" t="str">
        <f t="shared" si="30"/>
        <v>—</v>
      </c>
      <c r="J170" s="33" t="str">
        <f t="shared" si="31"/>
        <v>—</v>
      </c>
      <c r="P170" s="1"/>
      <c r="Q170" s="1"/>
      <c r="R170" s="1"/>
      <c r="S170" s="1"/>
      <c r="T170" s="1"/>
      <c r="U170" s="1"/>
    </row>
    <row r="171" spans="1:21" ht="15.75" x14ac:dyDescent="0.25">
      <c r="A171" s="32">
        <f>IF(F26="","",'Исходные данные'!A25)</f>
        <v>7</v>
      </c>
      <c r="B171" s="131" t="str">
        <f t="shared" si="29"/>
        <v>—</v>
      </c>
      <c r="C171" s="98"/>
      <c r="D171" s="98"/>
      <c r="E171" s="153" t="s">
        <v>36</v>
      </c>
      <c r="F171" s="151"/>
      <c r="G171" s="127" t="str">
        <f t="shared" si="32"/>
        <v>—</v>
      </c>
      <c r="H171" s="98"/>
      <c r="I171" s="33" t="str">
        <f t="shared" si="30"/>
        <v>—</v>
      </c>
      <c r="J171" s="33" t="str">
        <f t="shared" si="31"/>
        <v>—</v>
      </c>
      <c r="P171" s="1"/>
      <c r="Q171" s="1"/>
      <c r="R171" s="1"/>
      <c r="S171" s="1"/>
      <c r="T171" s="1"/>
      <c r="U171" s="1"/>
    </row>
    <row r="172" spans="1:21" ht="15.75" x14ac:dyDescent="0.25">
      <c r="A172" s="32">
        <f>IF(F27="","",'Исходные данные'!A26)</f>
        <v>8</v>
      </c>
      <c r="B172" s="131" t="str">
        <f t="shared" si="29"/>
        <v>—</v>
      </c>
      <c r="C172" s="98"/>
      <c r="D172" s="98"/>
      <c r="E172" s="153" t="s">
        <v>36</v>
      </c>
      <c r="F172" s="151"/>
      <c r="G172" s="127" t="str">
        <f t="shared" si="32"/>
        <v>—</v>
      </c>
      <c r="H172" s="98"/>
      <c r="I172" s="33" t="str">
        <f t="shared" si="30"/>
        <v>—</v>
      </c>
      <c r="J172" s="33" t="str">
        <f t="shared" si="31"/>
        <v>—</v>
      </c>
      <c r="P172" s="1"/>
      <c r="Q172" s="1"/>
      <c r="R172" s="1"/>
      <c r="S172" s="1"/>
      <c r="T172" s="1"/>
      <c r="U172" s="1"/>
    </row>
    <row r="173" spans="1:21" ht="15.75" x14ac:dyDescent="0.25">
      <c r="A173" s="32">
        <f>IF(F28="","",'Исходные данные'!A27)</f>
        <v>9</v>
      </c>
      <c r="B173" s="131" t="str">
        <f t="shared" si="29"/>
        <v>—</v>
      </c>
      <c r="C173" s="98"/>
      <c r="D173" s="98"/>
      <c r="E173" s="150" t="str">
        <f t="shared" ref="E173:E194" si="33">IF(F28="","",IF(AND(F20&gt;$I$17,F21&gt;$I$17,F22&gt;$I$17,F23&gt;$I$17,F24&gt;$I$17,F25&gt;$I$17,F26&gt;$I$17,F27&gt;$I$17,F28&gt;$I$17),"Да","—"))</f>
        <v>—</v>
      </c>
      <c r="F173" s="151"/>
      <c r="G173" s="127" t="str">
        <f t="shared" si="32"/>
        <v>—</v>
      </c>
      <c r="H173" s="98"/>
      <c r="I173" s="33" t="str">
        <f t="shared" si="30"/>
        <v>—</v>
      </c>
      <c r="J173" s="33" t="str">
        <f t="shared" si="31"/>
        <v>—</v>
      </c>
      <c r="P173" s="1"/>
      <c r="Q173" s="1"/>
      <c r="R173" s="1"/>
      <c r="S173" s="1"/>
      <c r="T173" s="1"/>
      <c r="U173" s="1"/>
    </row>
    <row r="174" spans="1:21" ht="15.75" x14ac:dyDescent="0.25">
      <c r="A174" s="32">
        <f>IF(F29="","",'Исходные данные'!A28)</f>
        <v>10</v>
      </c>
      <c r="B174" s="131" t="str">
        <f t="shared" si="29"/>
        <v>Да</v>
      </c>
      <c r="C174" s="98"/>
      <c r="D174" s="98"/>
      <c r="E174" s="150" t="str">
        <f t="shared" si="33"/>
        <v>—</v>
      </c>
      <c r="F174" s="151"/>
      <c r="G174" s="127" t="str">
        <f t="shared" si="32"/>
        <v>—</v>
      </c>
      <c r="H174" s="98"/>
      <c r="I174" s="33" t="str">
        <f t="shared" si="30"/>
        <v>—</v>
      </c>
      <c r="J174" s="33" t="str">
        <f t="shared" si="31"/>
        <v>—</v>
      </c>
      <c r="P174" s="1"/>
      <c r="Q174" s="1"/>
      <c r="R174" s="1"/>
      <c r="S174" s="1"/>
      <c r="T174" s="1"/>
      <c r="U174" s="1"/>
    </row>
    <row r="175" spans="1:21" ht="15.75" x14ac:dyDescent="0.25">
      <c r="A175" s="32">
        <f>IF(F30="","",'Исходные данные'!A29)</f>
        <v>11</v>
      </c>
      <c r="B175" s="131" t="str">
        <f t="shared" si="29"/>
        <v>—</v>
      </c>
      <c r="C175" s="98"/>
      <c r="D175" s="98"/>
      <c r="E175" s="150" t="str">
        <f t="shared" si="33"/>
        <v>—</v>
      </c>
      <c r="F175" s="151"/>
      <c r="G175" s="127" t="str">
        <f t="shared" si="32"/>
        <v>—</v>
      </c>
      <c r="H175" s="98"/>
      <c r="I175" s="33" t="str">
        <f t="shared" si="30"/>
        <v>—</v>
      </c>
      <c r="J175" s="33" t="str">
        <f t="shared" si="31"/>
        <v>—</v>
      </c>
      <c r="P175" s="1"/>
      <c r="Q175" s="1"/>
      <c r="R175" s="1"/>
      <c r="S175" s="1"/>
      <c r="T175" s="1"/>
      <c r="U175" s="1"/>
    </row>
    <row r="176" spans="1:21" ht="15.75" x14ac:dyDescent="0.25">
      <c r="A176" s="32">
        <f>IF(F31="","",'Исходные данные'!A30)</f>
        <v>12</v>
      </c>
      <c r="B176" s="131" t="str">
        <f t="shared" si="29"/>
        <v>—</v>
      </c>
      <c r="C176" s="98"/>
      <c r="D176" s="98"/>
      <c r="E176" s="150" t="str">
        <f t="shared" si="33"/>
        <v>—</v>
      </c>
      <c r="F176" s="151"/>
      <c r="G176" s="127" t="str">
        <f t="shared" si="32"/>
        <v>—</v>
      </c>
      <c r="H176" s="98"/>
      <c r="I176" s="33" t="str">
        <f t="shared" si="30"/>
        <v>—</v>
      </c>
      <c r="J176" s="33" t="str">
        <f t="shared" si="31"/>
        <v>—</v>
      </c>
      <c r="P176" s="1"/>
      <c r="Q176" s="1"/>
      <c r="R176" s="1"/>
      <c r="S176" s="1"/>
      <c r="T176" s="1"/>
      <c r="U176" s="1"/>
    </row>
    <row r="177" spans="1:21" ht="15.75" x14ac:dyDescent="0.25">
      <c r="A177" s="32">
        <f>IF(F32="","",'Исходные данные'!A31)</f>
        <v>13</v>
      </c>
      <c r="B177" s="131" t="str">
        <f t="shared" si="29"/>
        <v>—</v>
      </c>
      <c r="C177" s="98"/>
      <c r="D177" s="98"/>
      <c r="E177" s="150" t="str">
        <f t="shared" si="33"/>
        <v>—</v>
      </c>
      <c r="F177" s="151"/>
      <c r="G177" s="127" t="str">
        <f t="shared" si="32"/>
        <v>—</v>
      </c>
      <c r="H177" s="98"/>
      <c r="I177" s="33" t="str">
        <f t="shared" si="30"/>
        <v>—</v>
      </c>
      <c r="J177" s="33" t="str">
        <f t="shared" si="31"/>
        <v>—</v>
      </c>
      <c r="P177" s="1"/>
      <c r="Q177" s="1"/>
      <c r="R177" s="1"/>
      <c r="S177" s="1"/>
      <c r="T177" s="1"/>
      <c r="U177" s="1"/>
    </row>
    <row r="178" spans="1:21" ht="15.75" x14ac:dyDescent="0.25">
      <c r="A178" s="32">
        <f>IF(F33="","",'Исходные данные'!A32)</f>
        <v>14</v>
      </c>
      <c r="B178" s="131" t="str">
        <f t="shared" si="29"/>
        <v>—</v>
      </c>
      <c r="C178" s="98"/>
      <c r="D178" s="98"/>
      <c r="E178" s="150" t="str">
        <f t="shared" si="33"/>
        <v>—</v>
      </c>
      <c r="F178" s="151"/>
      <c r="G178" s="127" t="str">
        <f t="shared" si="32"/>
        <v>—</v>
      </c>
      <c r="H178" s="98"/>
      <c r="I178" s="33" t="str">
        <f t="shared" si="30"/>
        <v>—</v>
      </c>
      <c r="J178" s="33" t="str">
        <f t="shared" si="31"/>
        <v>—</v>
      </c>
      <c r="P178" s="1"/>
      <c r="Q178" s="1"/>
      <c r="R178" s="1"/>
      <c r="S178" s="1"/>
      <c r="T178" s="1"/>
      <c r="U178" s="1"/>
    </row>
    <row r="179" spans="1:21" ht="15.75" x14ac:dyDescent="0.25">
      <c r="A179" s="32">
        <f>IF(F34="","",'Исходные данные'!A33)</f>
        <v>15</v>
      </c>
      <c r="B179" s="131" t="str">
        <f t="shared" si="29"/>
        <v>—</v>
      </c>
      <c r="C179" s="98"/>
      <c r="D179" s="98"/>
      <c r="E179" s="150" t="str">
        <f t="shared" si="33"/>
        <v>—</v>
      </c>
      <c r="F179" s="151"/>
      <c r="G179" s="127" t="str">
        <f t="shared" si="32"/>
        <v>—</v>
      </c>
      <c r="H179" s="98"/>
      <c r="I179" s="33" t="str">
        <f t="shared" si="30"/>
        <v>—</v>
      </c>
      <c r="J179" s="33" t="str">
        <f t="shared" si="31"/>
        <v>—</v>
      </c>
      <c r="P179" s="1"/>
      <c r="Q179" s="1"/>
      <c r="R179" s="1"/>
      <c r="S179" s="1"/>
      <c r="T179" s="1"/>
      <c r="U179" s="1"/>
    </row>
    <row r="180" spans="1:21" ht="15.75" x14ac:dyDescent="0.25">
      <c r="A180" s="32">
        <f>IF(F35="","",'Исходные данные'!A34)</f>
        <v>16</v>
      </c>
      <c r="B180" s="131" t="str">
        <f t="shared" si="29"/>
        <v>—</v>
      </c>
      <c r="C180" s="98"/>
      <c r="D180" s="98"/>
      <c r="E180" s="150" t="str">
        <f t="shared" si="33"/>
        <v>—</v>
      </c>
      <c r="F180" s="151"/>
      <c r="G180" s="127" t="str">
        <f t="shared" si="32"/>
        <v>—</v>
      </c>
      <c r="H180" s="98"/>
      <c r="I180" s="33" t="str">
        <f t="shared" si="30"/>
        <v>—</v>
      </c>
      <c r="J180" s="33" t="str">
        <f t="shared" si="31"/>
        <v>—</v>
      </c>
      <c r="P180" s="1"/>
      <c r="Q180" s="1"/>
      <c r="R180" s="1"/>
      <c r="S180" s="1"/>
      <c r="T180" s="1"/>
      <c r="U180" s="1"/>
    </row>
    <row r="181" spans="1:21" ht="15.75" x14ac:dyDescent="0.25">
      <c r="A181" s="32">
        <f>IF(F36="","",'Исходные данные'!A35)</f>
        <v>17</v>
      </c>
      <c r="B181" s="131" t="str">
        <f t="shared" si="29"/>
        <v>—</v>
      </c>
      <c r="C181" s="98"/>
      <c r="D181" s="98"/>
      <c r="E181" s="150" t="str">
        <f t="shared" si="33"/>
        <v>—</v>
      </c>
      <c r="F181" s="151"/>
      <c r="G181" s="127" t="str">
        <f t="shared" si="32"/>
        <v>—</v>
      </c>
      <c r="H181" s="98"/>
      <c r="I181" s="33" t="str">
        <f t="shared" si="30"/>
        <v>—</v>
      </c>
      <c r="J181" s="33" t="str">
        <f t="shared" si="31"/>
        <v>—</v>
      </c>
      <c r="P181" s="1"/>
      <c r="Q181" s="1"/>
      <c r="R181" s="1"/>
      <c r="S181" s="1"/>
      <c r="T181" s="1"/>
      <c r="U181" s="1"/>
    </row>
    <row r="182" spans="1:21" ht="15.75" x14ac:dyDescent="0.25">
      <c r="A182" s="32">
        <f>IF(F37="","",'Исходные данные'!A36)</f>
        <v>18</v>
      </c>
      <c r="B182" s="131" t="str">
        <f t="shared" si="29"/>
        <v>—</v>
      </c>
      <c r="C182" s="98"/>
      <c r="D182" s="98"/>
      <c r="E182" s="150" t="str">
        <f t="shared" si="33"/>
        <v>—</v>
      </c>
      <c r="F182" s="151"/>
      <c r="G182" s="127" t="str">
        <f t="shared" si="32"/>
        <v>—</v>
      </c>
      <c r="H182" s="98"/>
      <c r="I182" s="33" t="str">
        <f t="shared" si="30"/>
        <v>—</v>
      </c>
      <c r="J182" s="33" t="str">
        <f t="shared" si="31"/>
        <v>—</v>
      </c>
      <c r="P182" s="1"/>
      <c r="Q182" s="1"/>
      <c r="R182" s="1"/>
      <c r="S182" s="1"/>
      <c r="T182" s="1"/>
      <c r="U182" s="1"/>
    </row>
    <row r="183" spans="1:21" ht="15.75" x14ac:dyDescent="0.25">
      <c r="A183" s="32">
        <f>IF(F38="","",'Исходные данные'!A37)</f>
        <v>19</v>
      </c>
      <c r="B183" s="131" t="str">
        <f t="shared" si="29"/>
        <v>—</v>
      </c>
      <c r="C183" s="98"/>
      <c r="D183" s="98"/>
      <c r="E183" s="150" t="str">
        <f t="shared" si="33"/>
        <v>—</v>
      </c>
      <c r="F183" s="151"/>
      <c r="G183" s="127" t="str">
        <f t="shared" si="32"/>
        <v>—</v>
      </c>
      <c r="H183" s="98"/>
      <c r="I183" s="33" t="str">
        <f t="shared" si="30"/>
        <v>—</v>
      </c>
      <c r="J183" s="33" t="str">
        <f t="shared" si="31"/>
        <v>—</v>
      </c>
      <c r="P183" s="1"/>
      <c r="Q183" s="1"/>
      <c r="R183" s="1"/>
      <c r="S183" s="1"/>
      <c r="T183" s="1"/>
      <c r="U183" s="1"/>
    </row>
    <row r="184" spans="1:21" ht="15.75" x14ac:dyDescent="0.25">
      <c r="A184" s="32">
        <f>IF(F39="","",'Исходные данные'!A38)</f>
        <v>20</v>
      </c>
      <c r="B184" s="131" t="str">
        <f t="shared" si="29"/>
        <v>—</v>
      </c>
      <c r="C184" s="98"/>
      <c r="D184" s="98"/>
      <c r="E184" s="150" t="str">
        <f t="shared" si="33"/>
        <v>—</v>
      </c>
      <c r="F184" s="151"/>
      <c r="G184" s="127" t="str">
        <f t="shared" si="32"/>
        <v>—</v>
      </c>
      <c r="H184" s="98"/>
      <c r="I184" s="33" t="str">
        <f t="shared" si="30"/>
        <v>—</v>
      </c>
      <c r="J184" s="33" t="str">
        <f t="shared" si="31"/>
        <v>—</v>
      </c>
      <c r="P184" s="1"/>
      <c r="Q184" s="1"/>
      <c r="R184" s="1"/>
      <c r="S184" s="1"/>
      <c r="T184" s="1"/>
      <c r="U184" s="1"/>
    </row>
    <row r="185" spans="1:21" ht="15.75" x14ac:dyDescent="0.25">
      <c r="A185" s="32">
        <f>IF(F40="","",'Исходные данные'!A39)</f>
        <v>21</v>
      </c>
      <c r="B185" s="131" t="str">
        <f t="shared" si="29"/>
        <v>—</v>
      </c>
      <c r="C185" s="98"/>
      <c r="D185" s="98"/>
      <c r="E185" s="150" t="str">
        <f t="shared" si="33"/>
        <v>—</v>
      </c>
      <c r="F185" s="151"/>
      <c r="G185" s="127" t="str">
        <f t="shared" si="32"/>
        <v>—</v>
      </c>
      <c r="H185" s="98"/>
      <c r="I185" s="33" t="str">
        <f t="shared" si="30"/>
        <v>—</v>
      </c>
      <c r="J185" s="33" t="str">
        <f t="shared" si="31"/>
        <v>—</v>
      </c>
      <c r="P185" s="1"/>
      <c r="Q185" s="1"/>
      <c r="R185" s="1"/>
      <c r="S185" s="1"/>
      <c r="T185" s="1"/>
      <c r="U185" s="1"/>
    </row>
    <row r="186" spans="1:21" ht="15.75" x14ac:dyDescent="0.25">
      <c r="A186" s="32">
        <f>IF(F41="","",'Исходные данные'!A40)</f>
        <v>22</v>
      </c>
      <c r="B186" s="131" t="str">
        <f t="shared" si="29"/>
        <v>—</v>
      </c>
      <c r="C186" s="98"/>
      <c r="D186" s="98"/>
      <c r="E186" s="150" t="str">
        <f t="shared" si="33"/>
        <v>—</v>
      </c>
      <c r="F186" s="151"/>
      <c r="G186" s="127" t="str">
        <f t="shared" si="32"/>
        <v>—</v>
      </c>
      <c r="H186" s="98"/>
      <c r="I186" s="33" t="str">
        <f t="shared" si="30"/>
        <v>—</v>
      </c>
      <c r="J186" s="33" t="str">
        <f t="shared" si="31"/>
        <v>—</v>
      </c>
      <c r="P186" s="1"/>
      <c r="Q186" s="1"/>
      <c r="R186" s="1"/>
      <c r="S186" s="1"/>
      <c r="T186" s="1"/>
      <c r="U186" s="1"/>
    </row>
    <row r="187" spans="1:21" ht="15.75" x14ac:dyDescent="0.25">
      <c r="A187" s="32">
        <f>IF(F42="","",'Исходные данные'!A41)</f>
        <v>23</v>
      </c>
      <c r="B187" s="131" t="str">
        <f t="shared" si="29"/>
        <v>—</v>
      </c>
      <c r="C187" s="98"/>
      <c r="D187" s="98"/>
      <c r="E187" s="150" t="str">
        <f t="shared" si="33"/>
        <v>—</v>
      </c>
      <c r="F187" s="151"/>
      <c r="G187" s="127" t="str">
        <f t="shared" si="32"/>
        <v>—</v>
      </c>
      <c r="H187" s="98"/>
      <c r="I187" s="33" t="str">
        <f t="shared" si="30"/>
        <v>—</v>
      </c>
      <c r="J187" s="33" t="str">
        <f t="shared" si="31"/>
        <v>—</v>
      </c>
      <c r="P187" s="1"/>
      <c r="Q187" s="1"/>
      <c r="R187" s="1"/>
      <c r="S187" s="1"/>
      <c r="T187" s="1"/>
      <c r="U187" s="1"/>
    </row>
    <row r="188" spans="1:21" ht="15.75" x14ac:dyDescent="0.25">
      <c r="A188" s="32">
        <f>IF(F43="","",'Исходные данные'!A42)</f>
        <v>24</v>
      </c>
      <c r="B188" s="131" t="str">
        <f t="shared" si="29"/>
        <v>—</v>
      </c>
      <c r="C188" s="98"/>
      <c r="D188" s="98"/>
      <c r="E188" s="150" t="str">
        <f t="shared" si="33"/>
        <v>—</v>
      </c>
      <c r="F188" s="151"/>
      <c r="G188" s="127" t="str">
        <f t="shared" si="32"/>
        <v>—</v>
      </c>
      <c r="H188" s="98"/>
      <c r="I188" s="33" t="str">
        <f t="shared" si="30"/>
        <v>—</v>
      </c>
      <c r="J188" s="33" t="str">
        <f t="shared" si="31"/>
        <v>—</v>
      </c>
      <c r="P188" s="1"/>
      <c r="Q188" s="1"/>
      <c r="R188" s="1"/>
      <c r="S188" s="1"/>
      <c r="T188" s="1"/>
      <c r="U188" s="1"/>
    </row>
    <row r="189" spans="1:21" ht="15.75" x14ac:dyDescent="0.25">
      <c r="A189" s="32">
        <f>IF(F44="","",'Исходные данные'!A43)</f>
        <v>25</v>
      </c>
      <c r="B189" s="131" t="str">
        <f t="shared" si="29"/>
        <v>—</v>
      </c>
      <c r="C189" s="98"/>
      <c r="D189" s="98"/>
      <c r="E189" s="150" t="str">
        <f t="shared" si="33"/>
        <v>—</v>
      </c>
      <c r="F189" s="151"/>
      <c r="G189" s="127" t="str">
        <f t="shared" si="32"/>
        <v>—</v>
      </c>
      <c r="H189" s="98"/>
      <c r="I189" s="33" t="str">
        <f t="shared" si="30"/>
        <v>—</v>
      </c>
      <c r="J189" s="33" t="str">
        <f t="shared" si="31"/>
        <v>—</v>
      </c>
      <c r="P189" s="1"/>
      <c r="Q189" s="1"/>
      <c r="R189" s="1"/>
      <c r="S189" s="1"/>
      <c r="T189" s="1"/>
      <c r="U189" s="1"/>
    </row>
    <row r="190" spans="1:21" ht="15.75" x14ac:dyDescent="0.25">
      <c r="A190" s="32">
        <f>IF(F45="","",'Исходные данные'!A44)</f>
        <v>26</v>
      </c>
      <c r="B190" s="131" t="str">
        <f t="shared" si="29"/>
        <v>—</v>
      </c>
      <c r="C190" s="98"/>
      <c r="D190" s="98"/>
      <c r="E190" s="150" t="str">
        <f t="shared" si="33"/>
        <v>—</v>
      </c>
      <c r="F190" s="151"/>
      <c r="G190" s="127" t="str">
        <f t="shared" si="32"/>
        <v>—</v>
      </c>
      <c r="H190" s="98"/>
      <c r="I190" s="33" t="str">
        <f t="shared" si="30"/>
        <v>—</v>
      </c>
      <c r="J190" s="33" t="str">
        <f t="shared" si="31"/>
        <v>—</v>
      </c>
      <c r="P190" s="1"/>
      <c r="Q190" s="1"/>
      <c r="R190" s="1"/>
      <c r="S190" s="1"/>
      <c r="T190" s="1"/>
      <c r="U190" s="1"/>
    </row>
    <row r="191" spans="1:21" ht="15.75" x14ac:dyDescent="0.25">
      <c r="A191" s="32">
        <f>IF(F46="","",'Исходные данные'!A45)</f>
        <v>27</v>
      </c>
      <c r="B191" s="131" t="str">
        <f t="shared" si="29"/>
        <v>—</v>
      </c>
      <c r="C191" s="98"/>
      <c r="D191" s="98"/>
      <c r="E191" s="150" t="str">
        <f t="shared" si="33"/>
        <v>—</v>
      </c>
      <c r="F191" s="151"/>
      <c r="G191" s="127" t="str">
        <f t="shared" si="32"/>
        <v>—</v>
      </c>
      <c r="H191" s="98"/>
      <c r="I191" s="33" t="str">
        <f t="shared" si="30"/>
        <v>—</v>
      </c>
      <c r="J191" s="33" t="str">
        <f t="shared" si="31"/>
        <v>—</v>
      </c>
      <c r="P191" s="1"/>
      <c r="Q191" s="1"/>
      <c r="R191" s="1"/>
      <c r="S191" s="1"/>
      <c r="T191" s="1"/>
      <c r="U191" s="1"/>
    </row>
    <row r="192" spans="1:21" ht="15.75" x14ac:dyDescent="0.25">
      <c r="A192" s="32">
        <f>IF(F47="","",'Исходные данные'!A46)</f>
        <v>28</v>
      </c>
      <c r="B192" s="131" t="str">
        <f t="shared" si="29"/>
        <v>—</v>
      </c>
      <c r="C192" s="98"/>
      <c r="D192" s="98"/>
      <c r="E192" s="150" t="str">
        <f t="shared" si="33"/>
        <v>—</v>
      </c>
      <c r="F192" s="151"/>
      <c r="G192" s="127" t="str">
        <f t="shared" si="32"/>
        <v>—</v>
      </c>
      <c r="H192" s="98"/>
      <c r="I192" s="33" t="str">
        <f t="shared" si="30"/>
        <v>—</v>
      </c>
      <c r="J192" s="33" t="str">
        <f t="shared" si="31"/>
        <v>—</v>
      </c>
      <c r="P192" s="1"/>
      <c r="Q192" s="1"/>
      <c r="R192" s="1"/>
      <c r="S192" s="1"/>
      <c r="T192" s="1"/>
      <c r="U192" s="1"/>
    </row>
    <row r="193" spans="1:21" ht="15.75" x14ac:dyDescent="0.25">
      <c r="A193" s="32">
        <f>IF(F48="","",'Исходные данные'!A47)</f>
        <v>29</v>
      </c>
      <c r="B193" s="131" t="str">
        <f t="shared" si="29"/>
        <v>—</v>
      </c>
      <c r="C193" s="98"/>
      <c r="D193" s="98"/>
      <c r="E193" s="150" t="str">
        <f t="shared" si="33"/>
        <v>—</v>
      </c>
      <c r="F193" s="151"/>
      <c r="G193" s="127" t="str">
        <f t="shared" si="32"/>
        <v>—</v>
      </c>
      <c r="H193" s="98"/>
      <c r="I193" s="33" t="str">
        <f t="shared" si="30"/>
        <v>—</v>
      </c>
      <c r="J193" s="33" t="str">
        <f t="shared" si="31"/>
        <v>—</v>
      </c>
      <c r="P193" s="1"/>
      <c r="Q193" s="1"/>
      <c r="R193" s="1"/>
      <c r="S193" s="1"/>
      <c r="T193" s="1"/>
      <c r="U193" s="1"/>
    </row>
    <row r="194" spans="1:21" ht="15.75" x14ac:dyDescent="0.25">
      <c r="A194" s="32">
        <f>IF(F49="","",'Исходные данные'!A48)</f>
        <v>30</v>
      </c>
      <c r="B194" s="131" t="str">
        <f t="shared" si="29"/>
        <v>—</v>
      </c>
      <c r="C194" s="98"/>
      <c r="D194" s="98"/>
      <c r="E194" s="150" t="str">
        <f t="shared" si="33"/>
        <v>—</v>
      </c>
      <c r="F194" s="151"/>
      <c r="G194" s="127" t="str">
        <f t="shared" si="32"/>
        <v>—</v>
      </c>
      <c r="H194" s="98"/>
      <c r="I194" s="33" t="str">
        <f t="shared" si="30"/>
        <v>—</v>
      </c>
      <c r="J194" s="33" t="str">
        <f t="shared" si="31"/>
        <v>—</v>
      </c>
      <c r="P194" s="1"/>
      <c r="Q194" s="1"/>
      <c r="R194" s="1"/>
      <c r="S194" s="1"/>
      <c r="T194" s="1"/>
      <c r="U194" s="1"/>
    </row>
    <row r="195" spans="1:21" ht="14.1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x14ac:dyDescent="0.25">
      <c r="A196" s="106" t="s">
        <v>53</v>
      </c>
      <c r="B196" s="107"/>
      <c r="C196" s="107"/>
      <c r="D196" s="107"/>
      <c r="E196" s="107"/>
      <c r="F196" s="107"/>
      <c r="G196" s="107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x14ac:dyDescent="0.2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33.75" customHeight="1" x14ac:dyDescent="0.25">
      <c r="A198" s="118" t="s">
        <v>70</v>
      </c>
      <c r="B198" s="119"/>
      <c r="C198" s="119"/>
      <c r="D198" s="119"/>
      <c r="E198" s="120"/>
      <c r="F198" s="36" t="s">
        <v>71</v>
      </c>
      <c r="G198" s="36" t="s">
        <v>72</v>
      </c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43.5" customHeight="1" x14ac:dyDescent="0.25">
      <c r="A199" s="113" t="s">
        <v>69</v>
      </c>
      <c r="B199" s="114"/>
      <c r="C199" s="114"/>
      <c r="D199" s="114"/>
      <c r="E199" s="114"/>
      <c r="F199" s="57"/>
      <c r="G199" s="59">
        <f>100*SQRT(SUMSQ(G221:G250)/(2*G251))</f>
        <v>11.441429891292158</v>
      </c>
      <c r="H199" s="60"/>
      <c r="I199" s="15"/>
      <c r="J199" s="15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43.5" customHeight="1" x14ac:dyDescent="0.25">
      <c r="A200" s="108" t="s">
        <v>73</v>
      </c>
      <c r="B200" s="109"/>
      <c r="C200" s="109"/>
      <c r="D200" s="109"/>
      <c r="E200" s="109"/>
      <c r="F200" s="55"/>
      <c r="G200" s="58">
        <f>100*SUM(H221:H250)/H251</f>
        <v>1.1111111111111163</v>
      </c>
      <c r="H200" s="53"/>
      <c r="I200" s="60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43.5" customHeight="1" x14ac:dyDescent="0.25">
      <c r="A201" s="108" t="s">
        <v>74</v>
      </c>
      <c r="B201" s="109"/>
      <c r="C201" s="109"/>
      <c r="D201" s="109"/>
      <c r="E201" s="109"/>
      <c r="F201" s="55"/>
      <c r="G201" s="58">
        <f>100*SQRT(SUMSQ(I221:I250)/(H251*(H251-1)))</f>
        <v>2.2072869758948146</v>
      </c>
      <c r="H201" s="60"/>
      <c r="I201" s="53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43.5" customHeight="1" x14ac:dyDescent="0.25">
      <c r="A202" s="108" t="s">
        <v>41</v>
      </c>
      <c r="B202" s="109"/>
      <c r="C202" s="109"/>
      <c r="D202" s="109"/>
      <c r="E202" s="109"/>
      <c r="F202" s="55"/>
      <c r="G202" s="58">
        <f>ABS(G200)/G201</f>
        <v>0.50338316822654272</v>
      </c>
      <c r="H202" s="53"/>
      <c r="I202" s="53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43.5" customHeight="1" x14ac:dyDescent="0.25">
      <c r="A203" s="108" t="s">
        <v>42</v>
      </c>
      <c r="B203" s="109"/>
      <c r="C203" s="109"/>
      <c r="D203" s="109"/>
      <c r="E203" s="109"/>
      <c r="F203" s="39" t="s">
        <v>76</v>
      </c>
      <c r="G203" s="58">
        <f>TINV(0.05,H251-1)</f>
        <v>2.0452296421327048</v>
      </c>
      <c r="H203" s="53"/>
      <c r="I203" s="53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43.5" customHeight="1" x14ac:dyDescent="0.25">
      <c r="A204" s="108" t="s">
        <v>44</v>
      </c>
      <c r="B204" s="109"/>
      <c r="C204" s="109"/>
      <c r="D204" s="109"/>
      <c r="E204" s="109"/>
      <c r="F204" s="39" t="s">
        <v>75</v>
      </c>
      <c r="G204" s="34" t="str">
        <f>IF(G202&lt;=G203,"выполняется","не выполняется")</f>
        <v>выполняется</v>
      </c>
      <c r="H204" s="53"/>
      <c r="I204" s="53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43.5" customHeight="1" x14ac:dyDescent="0.25">
      <c r="A205" s="111" t="s">
        <v>43</v>
      </c>
      <c r="B205" s="109"/>
      <c r="C205" s="109"/>
      <c r="D205" s="109"/>
      <c r="E205" s="109"/>
      <c r="F205" s="39" t="s">
        <v>75</v>
      </c>
      <c r="G205" s="54" t="str">
        <f>IF(G202&lt;=G203,"незначимо","значимо")</f>
        <v>незначимо</v>
      </c>
      <c r="H205" s="53"/>
      <c r="I205" s="53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43.5" customHeight="1" x14ac:dyDescent="0.25">
      <c r="A206" s="108" t="s">
        <v>77</v>
      </c>
      <c r="B206" s="109"/>
      <c r="C206" s="109"/>
      <c r="D206" s="109"/>
      <c r="E206" s="109"/>
      <c r="F206" s="55"/>
      <c r="G206" s="58">
        <f>2*G201</f>
        <v>4.4145739517896292</v>
      </c>
      <c r="H206" s="53"/>
      <c r="I206" s="53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43.5" customHeight="1" x14ac:dyDescent="0.25">
      <c r="A207" s="108" t="s">
        <v>78</v>
      </c>
      <c r="B207" s="109"/>
      <c r="C207" s="109"/>
      <c r="D207" s="109"/>
      <c r="E207" s="109"/>
      <c r="F207" s="55"/>
      <c r="G207" s="58">
        <f>MAX(ABS(G200-2*G201),ABS(G200+2*G201))</f>
        <v>5.5256850629007452</v>
      </c>
      <c r="H207" s="53"/>
      <c r="I207" s="6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43.5" customHeight="1" x14ac:dyDescent="0.25">
      <c r="A208" s="108" t="s">
        <v>83</v>
      </c>
      <c r="B208" s="109"/>
      <c r="C208" s="109"/>
      <c r="D208" s="109"/>
      <c r="E208" s="109"/>
      <c r="F208" s="55"/>
      <c r="G208" s="58" t="str">
        <f>IF(G201/G199&lt;=1/3,"выполняется","не выполняется")</f>
        <v>выполняется</v>
      </c>
      <c r="H208" s="53"/>
      <c r="I208" s="6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43.5" customHeight="1" x14ac:dyDescent="0.25">
      <c r="A209" s="108" t="s">
        <v>85</v>
      </c>
      <c r="B209" s="110"/>
      <c r="C209" s="110"/>
      <c r="D209" s="110"/>
      <c r="E209" s="110"/>
      <c r="F209" s="56"/>
      <c r="G209" s="58">
        <f>2*G199</f>
        <v>22.882859782584315</v>
      </c>
      <c r="H209" s="53"/>
      <c r="I209" s="6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43.5" customHeight="1" x14ac:dyDescent="0.25">
      <c r="A210" s="108" t="s">
        <v>86</v>
      </c>
      <c r="B210" s="110"/>
      <c r="C210" s="110"/>
      <c r="D210" s="110"/>
      <c r="E210" s="110"/>
      <c r="F210" s="56"/>
      <c r="G210" s="58">
        <f>2*SQRT(G199^2+G201^2)</f>
        <v>23.30480068580794</v>
      </c>
      <c r="H210" s="53"/>
      <c r="I210" s="53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43.5" customHeight="1" x14ac:dyDescent="0.25">
      <c r="A211" s="108" t="s">
        <v>87</v>
      </c>
      <c r="B211" s="110"/>
      <c r="C211" s="110"/>
      <c r="D211" s="110"/>
      <c r="E211" s="110"/>
      <c r="F211" s="39" t="s">
        <v>81</v>
      </c>
      <c r="G211" s="58">
        <f>MAX(ABS(G200-2*G199),ABS(G200+2*G199))</f>
        <v>23.993970893695433</v>
      </c>
      <c r="H211" s="53"/>
      <c r="I211" s="53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43.5" customHeight="1" x14ac:dyDescent="0.25">
      <c r="A212" s="108" t="s">
        <v>88</v>
      </c>
      <c r="B212" s="110"/>
      <c r="C212" s="110"/>
      <c r="D212" s="110"/>
      <c r="E212" s="110"/>
      <c r="F212" s="39" t="s">
        <v>81</v>
      </c>
      <c r="G212" s="58">
        <f>MAX(ABS(G200-2*SQRT(G199^2+G201^2)),ABS(G200+2*SQRT(G199^2+G201^2)))</f>
        <v>24.415911796919058</v>
      </c>
      <c r="H212" s="53"/>
      <c r="I212" s="53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43.5" customHeight="1" x14ac:dyDescent="0.25">
      <c r="A213" s="111" t="s">
        <v>84</v>
      </c>
      <c r="B213" s="112"/>
      <c r="C213" s="112"/>
      <c r="D213" s="112"/>
      <c r="E213" s="112"/>
      <c r="F213" s="39"/>
      <c r="G213" s="59">
        <f>IF(AND(G205="незначимо",G208="выполняется"),G209,IF(AND(G205="незначимо",G208="не выполняется"),G210,IF(AND(G205="значимо",G208="выполняется"),G211,G212)))</f>
        <v>22.882859782584315</v>
      </c>
      <c r="H213" s="53"/>
      <c r="I213" s="53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43.5" customHeight="1" x14ac:dyDescent="0.25">
      <c r="A214" s="113" t="s">
        <v>79</v>
      </c>
      <c r="B214" s="114"/>
      <c r="C214" s="114"/>
      <c r="D214" s="114"/>
      <c r="E214" s="114"/>
      <c r="F214" s="39" t="s">
        <v>80</v>
      </c>
      <c r="G214" s="59">
        <f>100*SQRT(SUMSQ(F221:F250)/(2*F251))</f>
        <v>8.8304249230536627</v>
      </c>
      <c r="H214" s="53"/>
      <c r="I214" s="53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33" customHeight="1" x14ac:dyDescent="0.25">
      <c r="A216" s="125" t="s">
        <v>82</v>
      </c>
      <c r="B216" s="126"/>
      <c r="C216" s="126"/>
      <c r="D216" s="126"/>
      <c r="E216" s="126"/>
      <c r="F216" s="126"/>
      <c r="G216" s="12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39" customHeight="1" x14ac:dyDescent="0.25">
      <c r="A219" s="94" t="s">
        <v>1</v>
      </c>
      <c r="B219" s="96" t="s">
        <v>0</v>
      </c>
      <c r="C219" s="122" t="s">
        <v>54</v>
      </c>
      <c r="D219" s="123"/>
      <c r="E219" s="124"/>
      <c r="F219" s="97" t="s">
        <v>55</v>
      </c>
      <c r="G219" s="97"/>
      <c r="H219" s="97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55.5" customHeight="1" x14ac:dyDescent="0.25">
      <c r="A220" s="121"/>
      <c r="B220" s="96"/>
      <c r="C220" s="35" t="s">
        <v>2</v>
      </c>
      <c r="D220" s="35" t="s">
        <v>3</v>
      </c>
      <c r="E220" s="35" t="s">
        <v>4</v>
      </c>
      <c r="F220" s="41" t="s">
        <v>14</v>
      </c>
      <c r="G220" s="41" t="s">
        <v>15</v>
      </c>
      <c r="H220" s="41" t="s">
        <v>13</v>
      </c>
      <c r="I220" s="44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x14ac:dyDescent="0.25">
      <c r="A221" s="29">
        <f t="shared" ref="A221:A250" si="34">IF(ISBLANK(A20),"",A20)</f>
        <v>1</v>
      </c>
      <c r="B221" s="42">
        <f>B20</f>
        <v>42380</v>
      </c>
      <c r="C221" s="29">
        <f>C20</f>
        <v>1.4999999999999999E-2</v>
      </c>
      <c r="D221" s="35">
        <f t="shared" ref="D221:E221" si="35">D20</f>
        <v>1.7000000000000001E-2</v>
      </c>
      <c r="E221" s="35">
        <f t="shared" si="35"/>
        <v>1.6E-2</v>
      </c>
      <c r="F221" s="29">
        <f t="shared" ref="F221:F250" si="36">IF(F20="","",IF(F20&gt;$I$15,"исключен",F20))</f>
        <v>0.12500000000000011</v>
      </c>
      <c r="G221" s="29" t="str">
        <f>IF(ISBLANK(G20),"",G20)</f>
        <v>—</v>
      </c>
      <c r="H221" s="29">
        <f t="shared" ref="H221:H250" si="37">IF(H20="","",IF(ABS(H20)&gt;$L$15,"исключен",H20))</f>
        <v>6.6666666666666735E-2</v>
      </c>
      <c r="I221" s="61">
        <f>IF(H221="","",H221-$G$200/100)</f>
        <v>5.5555555555555573E-2</v>
      </c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x14ac:dyDescent="0.25">
      <c r="A222" s="29">
        <f t="shared" si="34"/>
        <v>2</v>
      </c>
      <c r="B222" s="42">
        <f t="shared" ref="B222:E250" si="38">B21</f>
        <v>42381</v>
      </c>
      <c r="C222" s="35">
        <f t="shared" si="38"/>
        <v>1.5800000000000002E-2</v>
      </c>
      <c r="D222" s="35">
        <f t="shared" si="38"/>
        <v>1.3599999999999999E-2</v>
      </c>
      <c r="E222" s="35">
        <f t="shared" si="38"/>
        <v>1.4700000000000001E-2</v>
      </c>
      <c r="F222" s="35">
        <f t="shared" si="36"/>
        <v>0.14965986394557837</v>
      </c>
      <c r="G222" s="29">
        <f t="shared" ref="G222:G250" si="39">IF(G21="","",IF(G21&gt;$J$15,"исключен",G21))</f>
        <v>8.4690553745928279E-2</v>
      </c>
      <c r="H222" s="35">
        <f t="shared" si="37"/>
        <v>-1.9999999999999879E-2</v>
      </c>
      <c r="I222" s="61">
        <f t="shared" ref="I222:I250" si="40">IF(H222="","",H222-$G$200/100)</f>
        <v>-3.1111111111111041E-2</v>
      </c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x14ac:dyDescent="0.25">
      <c r="A223" s="29">
        <f t="shared" si="34"/>
        <v>3</v>
      </c>
      <c r="B223" s="42">
        <f t="shared" si="38"/>
        <v>42382</v>
      </c>
      <c r="C223" s="35">
        <f t="shared" si="38"/>
        <v>1.6199999999999999E-2</v>
      </c>
      <c r="D223" s="35">
        <f t="shared" si="38"/>
        <v>1.66E-2</v>
      </c>
      <c r="E223" s="35">
        <f t="shared" si="38"/>
        <v>1.6399999999999998E-2</v>
      </c>
      <c r="F223" s="35">
        <f t="shared" si="36"/>
        <v>2.4390243902439091E-2</v>
      </c>
      <c r="G223" s="35">
        <f t="shared" si="39"/>
        <v>0.10932475884244351</v>
      </c>
      <c r="H223" s="35">
        <f t="shared" si="37"/>
        <v>9.333333333333324E-2</v>
      </c>
      <c r="I223" s="61">
        <f t="shared" si="40"/>
        <v>8.2222222222222086E-2</v>
      </c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x14ac:dyDescent="0.25">
      <c r="A224" s="29">
        <f t="shared" si="34"/>
        <v>4</v>
      </c>
      <c r="B224" s="42">
        <f t="shared" si="38"/>
        <v>42383</v>
      </c>
      <c r="C224" s="35">
        <f t="shared" si="38"/>
        <v>1.5900000000000001E-2</v>
      </c>
      <c r="D224" s="35">
        <f t="shared" si="38"/>
        <v>1.7899999999999999E-2</v>
      </c>
      <c r="E224" s="35">
        <f t="shared" si="38"/>
        <v>1.6899999999999998E-2</v>
      </c>
      <c r="F224" s="35">
        <f t="shared" si="36"/>
        <v>0.1183431952662721</v>
      </c>
      <c r="G224" s="35">
        <f t="shared" si="39"/>
        <v>3.0030030030030061E-2</v>
      </c>
      <c r="H224" s="35">
        <f t="shared" si="37"/>
        <v>0.12666666666666659</v>
      </c>
      <c r="I224" s="61">
        <f t="shared" si="40"/>
        <v>0.11555555555555544</v>
      </c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x14ac:dyDescent="0.25">
      <c r="A225" s="29">
        <f t="shared" si="34"/>
        <v>5</v>
      </c>
      <c r="B225" s="42">
        <f t="shared" si="38"/>
        <v>42384</v>
      </c>
      <c r="C225" s="35">
        <f t="shared" si="38"/>
        <v>1.7100000000000001E-2</v>
      </c>
      <c r="D225" s="35">
        <f t="shared" si="38"/>
        <v>1.6899999999999998E-2</v>
      </c>
      <c r="E225" s="35">
        <f t="shared" si="38"/>
        <v>1.7000000000000001E-2</v>
      </c>
      <c r="F225" s="35">
        <f t="shared" si="36"/>
        <v>1.1764705882353073E-2</v>
      </c>
      <c r="G225" s="35">
        <f t="shared" si="39"/>
        <v>5.8997050147494316E-3</v>
      </c>
      <c r="H225" s="35">
        <f t="shared" si="37"/>
        <v>0.13333333333333347</v>
      </c>
      <c r="I225" s="61">
        <f t="shared" si="40"/>
        <v>0.12222222222222232</v>
      </c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x14ac:dyDescent="0.25">
      <c r="A226" s="29">
        <f t="shared" si="34"/>
        <v>6</v>
      </c>
      <c r="B226" s="42">
        <f t="shared" si="38"/>
        <v>42385</v>
      </c>
      <c r="C226" s="35">
        <f t="shared" si="38"/>
        <v>1.4999999999999999E-2</v>
      </c>
      <c r="D226" s="35">
        <f t="shared" si="38"/>
        <v>1.44E-2</v>
      </c>
      <c r="E226" s="35">
        <f t="shared" si="38"/>
        <v>1.47E-2</v>
      </c>
      <c r="F226" s="35">
        <f t="shared" si="36"/>
        <v>4.0816326530612235E-2</v>
      </c>
      <c r="G226" s="35">
        <f t="shared" si="39"/>
        <v>0.14511041009463735</v>
      </c>
      <c r="H226" s="35">
        <f t="shared" si="37"/>
        <v>-1.9999999999999997E-2</v>
      </c>
      <c r="I226" s="61">
        <f t="shared" si="40"/>
        <v>-3.1111111111111159E-2</v>
      </c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x14ac:dyDescent="0.25">
      <c r="A227" s="29">
        <f t="shared" si="34"/>
        <v>7</v>
      </c>
      <c r="B227" s="42">
        <f t="shared" si="38"/>
        <v>42386</v>
      </c>
      <c r="C227" s="35">
        <f t="shared" si="38"/>
        <v>1.7500000000000002E-2</v>
      </c>
      <c r="D227" s="35">
        <f t="shared" si="38"/>
        <v>1.8499999999999999E-2</v>
      </c>
      <c r="E227" s="35">
        <f t="shared" si="38"/>
        <v>1.8000000000000002E-2</v>
      </c>
      <c r="F227" s="35">
        <f t="shared" si="36"/>
        <v>5.5555555555555407E-2</v>
      </c>
      <c r="G227" s="35">
        <f t="shared" si="39"/>
        <v>0.20183486238532125</v>
      </c>
      <c r="H227" s="35">
        <f t="shared" si="37"/>
        <v>0.20000000000000018</v>
      </c>
      <c r="I227" s="61">
        <f t="shared" si="40"/>
        <v>0.18888888888888902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x14ac:dyDescent="0.25">
      <c r="A228" s="29">
        <f t="shared" si="34"/>
        <v>8</v>
      </c>
      <c r="B228" s="42">
        <f t="shared" si="38"/>
        <v>42387</v>
      </c>
      <c r="C228" s="35">
        <f t="shared" si="38"/>
        <v>1.2200000000000001E-2</v>
      </c>
      <c r="D228" s="35">
        <f t="shared" si="38"/>
        <v>1.4800000000000001E-2</v>
      </c>
      <c r="E228" s="35">
        <f t="shared" si="38"/>
        <v>1.3500000000000002E-2</v>
      </c>
      <c r="F228" s="35">
        <f t="shared" si="36"/>
        <v>0.19259259259259257</v>
      </c>
      <c r="G228" s="35">
        <f t="shared" si="39"/>
        <v>0.28571428571428575</v>
      </c>
      <c r="H228" s="35">
        <f t="shared" si="37"/>
        <v>-9.9999999999999867E-2</v>
      </c>
      <c r="I228" s="61">
        <f t="shared" si="40"/>
        <v>-0.11111111111111102</v>
      </c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x14ac:dyDescent="0.25">
      <c r="A229" s="29">
        <f t="shared" si="34"/>
        <v>9</v>
      </c>
      <c r="B229" s="42">
        <f t="shared" si="38"/>
        <v>42388</v>
      </c>
      <c r="C229" s="35">
        <f t="shared" si="38"/>
        <v>1.38E-2</v>
      </c>
      <c r="D229" s="35">
        <f t="shared" si="38"/>
        <v>1.2E-2</v>
      </c>
      <c r="E229" s="35">
        <f t="shared" si="38"/>
        <v>1.29E-2</v>
      </c>
      <c r="F229" s="35">
        <f t="shared" si="36"/>
        <v>0.1395348837209302</v>
      </c>
      <c r="G229" s="35">
        <f t="shared" si="39"/>
        <v>4.5454545454545574E-2</v>
      </c>
      <c r="H229" s="35">
        <f t="shared" si="37"/>
        <v>-0.13999999999999996</v>
      </c>
      <c r="I229" s="61">
        <f t="shared" si="40"/>
        <v>-0.15111111111111111</v>
      </c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x14ac:dyDescent="0.25">
      <c r="A230" s="29">
        <f t="shared" si="34"/>
        <v>10</v>
      </c>
      <c r="B230" s="42">
        <f t="shared" si="38"/>
        <v>42389</v>
      </c>
      <c r="C230" s="35">
        <f t="shared" si="38"/>
        <v>7.6E-3</v>
      </c>
      <c r="D230" s="35">
        <f t="shared" si="38"/>
        <v>1.2500000000000001E-2</v>
      </c>
      <c r="E230" s="35">
        <f t="shared" si="38"/>
        <v>1.005E-2</v>
      </c>
      <c r="F230" s="35" t="str">
        <f t="shared" si="36"/>
        <v>исключен</v>
      </c>
      <c r="G230" s="35">
        <f t="shared" si="39"/>
        <v>0.24836601307189546</v>
      </c>
      <c r="H230" s="35">
        <f t="shared" si="37"/>
        <v>-0.32999999999999996</v>
      </c>
      <c r="I230" s="61">
        <f t="shared" si="40"/>
        <v>-0.34111111111111114</v>
      </c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x14ac:dyDescent="0.25">
      <c r="A231" s="29">
        <f t="shared" si="34"/>
        <v>11</v>
      </c>
      <c r="B231" s="42">
        <f t="shared" si="38"/>
        <v>42390</v>
      </c>
      <c r="C231" s="35">
        <f t="shared" si="38"/>
        <v>1.2500000000000001E-2</v>
      </c>
      <c r="D231" s="35">
        <f t="shared" si="38"/>
        <v>1.35E-2</v>
      </c>
      <c r="E231" s="35">
        <f t="shared" si="38"/>
        <v>1.3000000000000001E-2</v>
      </c>
      <c r="F231" s="35">
        <f t="shared" si="36"/>
        <v>7.6923076923076858E-2</v>
      </c>
      <c r="G231" s="35">
        <f t="shared" si="39"/>
        <v>0.25596529284164871</v>
      </c>
      <c r="H231" s="35">
        <f t="shared" si="37"/>
        <v>-0.13333333333333322</v>
      </c>
      <c r="I231" s="61">
        <f t="shared" si="40"/>
        <v>-0.14444444444444438</v>
      </c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x14ac:dyDescent="0.25">
      <c r="A232" s="29">
        <f t="shared" si="34"/>
        <v>12</v>
      </c>
      <c r="B232" s="42">
        <f t="shared" si="38"/>
        <v>42391</v>
      </c>
      <c r="C232" s="35">
        <f t="shared" si="38"/>
        <v>1.7999999999999999E-2</v>
      </c>
      <c r="D232" s="35">
        <f t="shared" si="38"/>
        <v>2.1000000000000001E-2</v>
      </c>
      <c r="E232" s="35">
        <f t="shared" si="38"/>
        <v>1.95E-2</v>
      </c>
      <c r="F232" s="35">
        <f t="shared" si="36"/>
        <v>0.15384615384615399</v>
      </c>
      <c r="G232" s="35">
        <f t="shared" si="39"/>
        <v>0.39999999999999991</v>
      </c>
      <c r="H232" s="35">
        <f t="shared" si="37"/>
        <v>0.30000000000000004</v>
      </c>
      <c r="I232" s="61">
        <f t="shared" si="40"/>
        <v>0.28888888888888886</v>
      </c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x14ac:dyDescent="0.25">
      <c r="A233" s="29">
        <f t="shared" si="34"/>
        <v>13</v>
      </c>
      <c r="B233" s="42">
        <f t="shared" si="38"/>
        <v>42392</v>
      </c>
      <c r="C233" s="35">
        <f t="shared" si="38"/>
        <v>1.5100000000000001E-2</v>
      </c>
      <c r="D233" s="35">
        <f t="shared" si="38"/>
        <v>1.47E-2</v>
      </c>
      <c r="E233" s="35">
        <f t="shared" si="38"/>
        <v>1.49E-2</v>
      </c>
      <c r="F233" s="35">
        <f t="shared" si="36"/>
        <v>2.6845637583892686E-2</v>
      </c>
      <c r="G233" s="35">
        <f t="shared" si="39"/>
        <v>0.26744186046511625</v>
      </c>
      <c r="H233" s="35">
        <f t="shared" si="37"/>
        <v>-6.6666666666666263E-3</v>
      </c>
      <c r="I233" s="61">
        <f t="shared" si="40"/>
        <v>-1.7777777777777788E-2</v>
      </c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x14ac:dyDescent="0.25">
      <c r="A234" s="29">
        <f t="shared" si="34"/>
        <v>14</v>
      </c>
      <c r="B234" s="42">
        <f t="shared" si="38"/>
        <v>42393</v>
      </c>
      <c r="C234" s="35">
        <f t="shared" si="38"/>
        <v>1.7600000000000001E-2</v>
      </c>
      <c r="D234" s="35">
        <f t="shared" si="38"/>
        <v>1.4999999999999999E-2</v>
      </c>
      <c r="E234" s="35">
        <f t="shared" si="38"/>
        <v>1.6300000000000002E-2</v>
      </c>
      <c r="F234" s="35">
        <f t="shared" si="36"/>
        <v>0.15950920245398781</v>
      </c>
      <c r="G234" s="35">
        <f t="shared" si="39"/>
        <v>8.9743589743589869E-2</v>
      </c>
      <c r="H234" s="35">
        <f t="shared" si="37"/>
        <v>8.6666666666666836E-2</v>
      </c>
      <c r="I234" s="61">
        <f t="shared" si="40"/>
        <v>7.5555555555555681E-2</v>
      </c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x14ac:dyDescent="0.25">
      <c r="A235" s="29">
        <f t="shared" si="34"/>
        <v>15</v>
      </c>
      <c r="B235" s="42">
        <f t="shared" si="38"/>
        <v>42394</v>
      </c>
      <c r="C235" s="35">
        <f t="shared" si="38"/>
        <v>1.55E-2</v>
      </c>
      <c r="D235" s="35">
        <f t="shared" si="38"/>
        <v>1.67E-2</v>
      </c>
      <c r="E235" s="35">
        <f t="shared" si="38"/>
        <v>1.61E-2</v>
      </c>
      <c r="F235" s="35">
        <f t="shared" si="36"/>
        <v>7.4534161490683218E-2</v>
      </c>
      <c r="G235" s="35">
        <f t="shared" si="39"/>
        <v>1.2345679012345819E-2</v>
      </c>
      <c r="H235" s="35">
        <f t="shared" si="37"/>
        <v>7.3333333333333361E-2</v>
      </c>
      <c r="I235" s="61">
        <f t="shared" si="40"/>
        <v>6.22222222222222E-2</v>
      </c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x14ac:dyDescent="0.25">
      <c r="A236" s="29">
        <f t="shared" si="34"/>
        <v>16</v>
      </c>
      <c r="B236" s="42">
        <f t="shared" si="38"/>
        <v>42395</v>
      </c>
      <c r="C236" s="35">
        <f t="shared" si="38"/>
        <v>1.5900000000000001E-2</v>
      </c>
      <c r="D236" s="35">
        <f t="shared" si="38"/>
        <v>1.5900000000000001E-2</v>
      </c>
      <c r="E236" s="35">
        <f t="shared" si="38"/>
        <v>1.5900000000000001E-2</v>
      </c>
      <c r="F236" s="35">
        <f t="shared" si="36"/>
        <v>0</v>
      </c>
      <c r="G236" s="35">
        <f t="shared" si="39"/>
        <v>1.2499999999999924E-2</v>
      </c>
      <c r="H236" s="35">
        <f t="shared" si="37"/>
        <v>6.0000000000000102E-2</v>
      </c>
      <c r="I236" s="61">
        <f t="shared" si="40"/>
        <v>4.888888888888894E-2</v>
      </c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x14ac:dyDescent="0.25">
      <c r="A237" s="29">
        <f t="shared" si="34"/>
        <v>17</v>
      </c>
      <c r="B237" s="42">
        <f t="shared" si="38"/>
        <v>42396</v>
      </c>
      <c r="C237" s="35">
        <f t="shared" si="38"/>
        <v>1.4999999999999999E-2</v>
      </c>
      <c r="D237" s="35">
        <f t="shared" si="38"/>
        <v>1.6199999999999999E-2</v>
      </c>
      <c r="E237" s="35">
        <f t="shared" si="38"/>
        <v>1.5599999999999999E-2</v>
      </c>
      <c r="F237" s="35">
        <f t="shared" si="36"/>
        <v>7.69230769230769E-2</v>
      </c>
      <c r="G237" s="35">
        <f t="shared" si="39"/>
        <v>1.9047619047619153E-2</v>
      </c>
      <c r="H237" s="35">
        <f t="shared" si="37"/>
        <v>3.9999999999999994E-2</v>
      </c>
      <c r="I237" s="61">
        <f t="shared" si="40"/>
        <v>2.8888888888888832E-2</v>
      </c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x14ac:dyDescent="0.25">
      <c r="A238" s="29">
        <f t="shared" si="34"/>
        <v>18</v>
      </c>
      <c r="B238" s="42">
        <f t="shared" si="38"/>
        <v>42397</v>
      </c>
      <c r="C238" s="35">
        <f t="shared" si="38"/>
        <v>1.2999999999999999E-2</v>
      </c>
      <c r="D238" s="35">
        <f t="shared" si="38"/>
        <v>1.78E-2</v>
      </c>
      <c r="E238" s="35">
        <f t="shared" si="38"/>
        <v>1.54E-2</v>
      </c>
      <c r="F238" s="35">
        <f t="shared" si="36"/>
        <v>0.31168831168831168</v>
      </c>
      <c r="G238" s="35">
        <f t="shared" si="39"/>
        <v>1.2903225806451535E-2</v>
      </c>
      <c r="H238" s="35">
        <f t="shared" si="37"/>
        <v>2.6666666666666738E-2</v>
      </c>
      <c r="I238" s="61">
        <f t="shared" si="40"/>
        <v>1.5555555555555576E-2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x14ac:dyDescent="0.25">
      <c r="A239" s="29">
        <f t="shared" si="34"/>
        <v>19</v>
      </c>
      <c r="B239" s="42">
        <f t="shared" si="38"/>
        <v>42398</v>
      </c>
      <c r="C239" s="35">
        <f t="shared" si="38"/>
        <v>1.52E-2</v>
      </c>
      <c r="D239" s="35">
        <f t="shared" si="38"/>
        <v>1.4800000000000001E-2</v>
      </c>
      <c r="E239" s="35">
        <f t="shared" si="38"/>
        <v>1.4999999999999999E-2</v>
      </c>
      <c r="F239" s="35">
        <f t="shared" si="36"/>
        <v>2.6666666666666623E-2</v>
      </c>
      <c r="G239" s="35">
        <f t="shared" si="39"/>
        <v>2.6315789473684278E-2</v>
      </c>
      <c r="H239" s="35">
        <f t="shared" si="37"/>
        <v>0</v>
      </c>
      <c r="I239" s="61">
        <f t="shared" si="40"/>
        <v>-1.1111111111111162E-2</v>
      </c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x14ac:dyDescent="0.25">
      <c r="A240" s="29">
        <f t="shared" si="34"/>
        <v>20</v>
      </c>
      <c r="B240" s="42">
        <f t="shared" si="38"/>
        <v>42399</v>
      </c>
      <c r="C240" s="35">
        <f t="shared" si="38"/>
        <v>1.67E-2</v>
      </c>
      <c r="D240" s="35">
        <f t="shared" si="38"/>
        <v>1.23E-2</v>
      </c>
      <c r="E240" s="35">
        <f t="shared" si="38"/>
        <v>1.4499999999999999E-2</v>
      </c>
      <c r="F240" s="35">
        <f t="shared" si="36"/>
        <v>0.30344827586206896</v>
      </c>
      <c r="G240" s="35">
        <f t="shared" si="39"/>
        <v>3.3898305084745797E-2</v>
      </c>
      <c r="H240" s="35">
        <f t="shared" si="37"/>
        <v>-3.3333333333333368E-2</v>
      </c>
      <c r="I240" s="61">
        <f t="shared" si="40"/>
        <v>-4.4444444444444529E-2</v>
      </c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x14ac:dyDescent="0.25">
      <c r="A241" s="29">
        <f t="shared" si="34"/>
        <v>21</v>
      </c>
      <c r="B241" s="42">
        <f t="shared" si="38"/>
        <v>42400</v>
      </c>
      <c r="C241" s="35">
        <f t="shared" si="38"/>
        <v>1.67E-2</v>
      </c>
      <c r="D241" s="35">
        <f t="shared" si="38"/>
        <v>1.6899999999999998E-2</v>
      </c>
      <c r="E241" s="35">
        <f t="shared" si="38"/>
        <v>1.6799999999999999E-2</v>
      </c>
      <c r="F241" s="35">
        <f t="shared" si="36"/>
        <v>1.1904761904761833E-2</v>
      </c>
      <c r="G241" s="35">
        <f t="shared" si="39"/>
        <v>0.14696485623003197</v>
      </c>
      <c r="H241" s="35">
        <f t="shared" si="37"/>
        <v>0.11999999999999997</v>
      </c>
      <c r="I241" s="61">
        <f t="shared" si="40"/>
        <v>0.10888888888888881</v>
      </c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x14ac:dyDescent="0.25">
      <c r="A242" s="29">
        <f t="shared" si="34"/>
        <v>22</v>
      </c>
      <c r="B242" s="42">
        <f t="shared" si="38"/>
        <v>42401</v>
      </c>
      <c r="C242" s="35">
        <f t="shared" si="38"/>
        <v>1.4999999999999999E-2</v>
      </c>
      <c r="D242" s="35">
        <f t="shared" si="38"/>
        <v>1.2E-2</v>
      </c>
      <c r="E242" s="35">
        <f t="shared" si="38"/>
        <v>1.35E-2</v>
      </c>
      <c r="F242" s="35">
        <f t="shared" si="36"/>
        <v>0.22222222222222215</v>
      </c>
      <c r="G242" s="35">
        <f t="shared" si="39"/>
        <v>0.21782178217821777</v>
      </c>
      <c r="H242" s="35">
        <f t="shared" si="37"/>
        <v>-9.9999999999999978E-2</v>
      </c>
      <c r="I242" s="61">
        <f t="shared" si="40"/>
        <v>-0.11111111111111113</v>
      </c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x14ac:dyDescent="0.25">
      <c r="A243" s="29">
        <f t="shared" si="34"/>
        <v>23</v>
      </c>
      <c r="B243" s="42">
        <f t="shared" si="38"/>
        <v>42402</v>
      </c>
      <c r="C243" s="35">
        <f t="shared" si="38"/>
        <v>1.6E-2</v>
      </c>
      <c r="D243" s="35">
        <f t="shared" si="38"/>
        <v>1.5599999999999999E-2</v>
      </c>
      <c r="E243" s="35">
        <f t="shared" si="38"/>
        <v>1.5800000000000002E-2</v>
      </c>
      <c r="F243" s="35">
        <f t="shared" si="36"/>
        <v>2.5316455696202597E-2</v>
      </c>
      <c r="G243" s="35">
        <f t="shared" si="39"/>
        <v>0.15699658703071684</v>
      </c>
      <c r="H243" s="35">
        <f t="shared" si="37"/>
        <v>5.3333333333333476E-2</v>
      </c>
      <c r="I243" s="61">
        <f t="shared" si="40"/>
        <v>4.2222222222222314E-2</v>
      </c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x14ac:dyDescent="0.25">
      <c r="A244" s="29">
        <f t="shared" si="34"/>
        <v>24</v>
      </c>
      <c r="B244" s="42">
        <f t="shared" si="38"/>
        <v>42403</v>
      </c>
      <c r="C244" s="35">
        <f t="shared" si="38"/>
        <v>1.2999999999999999E-2</v>
      </c>
      <c r="D244" s="35">
        <f t="shared" si="38"/>
        <v>1.3299999999999999E-2</v>
      </c>
      <c r="E244" s="35">
        <f t="shared" si="38"/>
        <v>1.3149999999999998E-2</v>
      </c>
      <c r="F244" s="35">
        <f t="shared" si="36"/>
        <v>2.2813688212927754E-2</v>
      </c>
      <c r="G244" s="35">
        <f t="shared" si="39"/>
        <v>0.18307426597582058</v>
      </c>
      <c r="H244" s="35">
        <f t="shared" si="37"/>
        <v>-0.12333333333333341</v>
      </c>
      <c r="I244" s="61">
        <f t="shared" si="40"/>
        <v>-0.13444444444444456</v>
      </c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x14ac:dyDescent="0.25">
      <c r="A245" s="29">
        <f t="shared" si="34"/>
        <v>25</v>
      </c>
      <c r="B245" s="42">
        <f t="shared" si="38"/>
        <v>42404</v>
      </c>
      <c r="C245" s="35">
        <f t="shared" si="38"/>
        <v>1.5100000000000001E-2</v>
      </c>
      <c r="D245" s="35">
        <f t="shared" si="38"/>
        <v>1.47E-2</v>
      </c>
      <c r="E245" s="35">
        <f t="shared" si="38"/>
        <v>1.49E-2</v>
      </c>
      <c r="F245" s="35">
        <f t="shared" si="36"/>
        <v>2.6845637583892686E-2</v>
      </c>
      <c r="G245" s="35">
        <f t="shared" si="39"/>
        <v>0.12477718360071313</v>
      </c>
      <c r="H245" s="35">
        <f t="shared" si="37"/>
        <v>-6.6666666666666263E-3</v>
      </c>
      <c r="I245" s="61">
        <f t="shared" si="40"/>
        <v>-1.7777777777777788E-2</v>
      </c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x14ac:dyDescent="0.25">
      <c r="A246" s="29">
        <f t="shared" si="34"/>
        <v>26</v>
      </c>
      <c r="B246" s="42">
        <f t="shared" si="38"/>
        <v>42405</v>
      </c>
      <c r="C246" s="35">
        <f t="shared" si="38"/>
        <v>1.6E-2</v>
      </c>
      <c r="D246" s="35">
        <f t="shared" si="38"/>
        <v>1.7600000000000001E-2</v>
      </c>
      <c r="E246" s="35">
        <f t="shared" si="38"/>
        <v>1.6800000000000002E-2</v>
      </c>
      <c r="F246" s="35">
        <f t="shared" si="36"/>
        <v>9.5238095238095274E-2</v>
      </c>
      <c r="G246" s="35">
        <f t="shared" si="39"/>
        <v>0.11987381703470044</v>
      </c>
      <c r="H246" s="35">
        <f t="shared" si="37"/>
        <v>0.1200000000000002</v>
      </c>
      <c r="I246" s="61">
        <f t="shared" si="40"/>
        <v>0.10888888888888903</v>
      </c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x14ac:dyDescent="0.25">
      <c r="A247" s="29">
        <f t="shared" si="34"/>
        <v>27</v>
      </c>
      <c r="B247" s="42">
        <f t="shared" si="38"/>
        <v>42406</v>
      </c>
      <c r="C247" s="35">
        <f t="shared" si="38"/>
        <v>1.3100000000000001E-2</v>
      </c>
      <c r="D247" s="35">
        <f t="shared" si="38"/>
        <v>1.47E-2</v>
      </c>
      <c r="E247" s="35">
        <f t="shared" si="38"/>
        <v>1.3899999999999999E-2</v>
      </c>
      <c r="F247" s="35">
        <f t="shared" si="36"/>
        <v>0.11510791366906468</v>
      </c>
      <c r="G247" s="35">
        <f t="shared" si="39"/>
        <v>0.18892508143322495</v>
      </c>
      <c r="H247" s="35">
        <f t="shared" si="37"/>
        <v>-7.3333333333333361E-2</v>
      </c>
      <c r="I247" s="61">
        <f t="shared" si="40"/>
        <v>-8.4444444444444516E-2</v>
      </c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x14ac:dyDescent="0.25">
      <c r="A248" s="29">
        <f t="shared" si="34"/>
        <v>28</v>
      </c>
      <c r="B248" s="42">
        <f t="shared" si="38"/>
        <v>42407</v>
      </c>
      <c r="C248" s="35">
        <f t="shared" si="38"/>
        <v>1.4500000000000001E-2</v>
      </c>
      <c r="D248" s="35">
        <f t="shared" si="38"/>
        <v>1.5100000000000001E-2</v>
      </c>
      <c r="E248" s="35">
        <f t="shared" si="38"/>
        <v>1.4800000000000001E-2</v>
      </c>
      <c r="F248" s="35">
        <f t="shared" si="36"/>
        <v>4.0540540540540529E-2</v>
      </c>
      <c r="G248" s="35">
        <f t="shared" si="39"/>
        <v>6.2717770034843315E-2</v>
      </c>
      <c r="H248" s="35">
        <f t="shared" si="37"/>
        <v>-1.3333333333333253E-2</v>
      </c>
      <c r="I248" s="61">
        <f t="shared" si="40"/>
        <v>-2.4444444444444414E-2</v>
      </c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x14ac:dyDescent="0.25">
      <c r="A249" s="29">
        <f t="shared" si="34"/>
        <v>29</v>
      </c>
      <c r="B249" s="42">
        <f t="shared" si="38"/>
        <v>42408</v>
      </c>
      <c r="C249" s="35">
        <f t="shared" si="38"/>
        <v>1.4E-2</v>
      </c>
      <c r="D249" s="35">
        <f t="shared" si="38"/>
        <v>1.2999999999999999E-2</v>
      </c>
      <c r="E249" s="35">
        <f t="shared" si="38"/>
        <v>1.35E-2</v>
      </c>
      <c r="F249" s="35">
        <f t="shared" si="36"/>
        <v>7.4074074074074139E-2</v>
      </c>
      <c r="G249" s="35">
        <f t="shared" si="39"/>
        <v>9.1872791519434685E-2</v>
      </c>
      <c r="H249" s="35">
        <f t="shared" si="37"/>
        <v>-9.9999999999999978E-2</v>
      </c>
      <c r="I249" s="61">
        <f t="shared" si="40"/>
        <v>-0.11111111111111113</v>
      </c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x14ac:dyDescent="0.25">
      <c r="A250" s="29">
        <f t="shared" si="34"/>
        <v>30</v>
      </c>
      <c r="B250" s="42">
        <f t="shared" si="38"/>
        <v>42409</v>
      </c>
      <c r="C250" s="35">
        <f t="shared" si="38"/>
        <v>1.54E-2</v>
      </c>
      <c r="D250" s="35">
        <f t="shared" si="38"/>
        <v>1.5599999999999999E-2</v>
      </c>
      <c r="E250" s="35">
        <f t="shared" si="38"/>
        <v>1.55E-2</v>
      </c>
      <c r="F250" s="35">
        <f t="shared" si="36"/>
        <v>1.2903225806451535E-2</v>
      </c>
      <c r="G250" s="35">
        <f t="shared" si="39"/>
        <v>0.13793103448275865</v>
      </c>
      <c r="H250" s="35">
        <f t="shared" si="37"/>
        <v>3.3333333333333368E-2</v>
      </c>
      <c r="I250" s="61">
        <f t="shared" si="40"/>
        <v>2.2222222222222206E-2</v>
      </c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x14ac:dyDescent="0.25">
      <c r="A251" s="115" t="s">
        <v>67</v>
      </c>
      <c r="B251" s="116"/>
      <c r="C251" s="116"/>
      <c r="D251" s="116"/>
      <c r="E251" s="117"/>
      <c r="F251" s="35">
        <f>COUNT(F221:F250)</f>
        <v>29</v>
      </c>
      <c r="G251" s="35">
        <f t="shared" ref="G251:H251" si="41">COUNT(G221:G250)</f>
        <v>29</v>
      </c>
      <c r="H251" s="35">
        <f t="shared" si="41"/>
        <v>30</v>
      </c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x14ac:dyDescent="0.25">
      <c r="A253" s="1"/>
      <c r="B253" s="1"/>
      <c r="C253" s="1"/>
      <c r="D253" s="1"/>
      <c r="E253" s="53"/>
      <c r="F253" s="53"/>
      <c r="G253" s="53"/>
      <c r="H253" s="53"/>
      <c r="I253" s="53"/>
      <c r="J253" s="53"/>
      <c r="K253" s="53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x14ac:dyDescent="0.25">
      <c r="A254" s="1"/>
      <c r="B254" s="1"/>
      <c r="C254" s="1"/>
      <c r="D254" s="1"/>
      <c r="E254" s="53"/>
      <c r="F254" s="53"/>
      <c r="G254" s="53"/>
      <c r="H254" s="53"/>
      <c r="I254" s="53"/>
      <c r="J254" s="53"/>
      <c r="K254" s="53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x14ac:dyDescent="0.25">
      <c r="A255" s="4" t="s">
        <v>20</v>
      </c>
      <c r="B255" s="4" t="s">
        <v>21</v>
      </c>
      <c r="C255" s="4" t="s">
        <v>22</v>
      </c>
      <c r="D255" s="4" t="s">
        <v>23</v>
      </c>
      <c r="E255" s="63"/>
      <c r="F255" s="63"/>
      <c r="G255" s="53"/>
      <c r="H255" s="53"/>
      <c r="I255" s="53"/>
      <c r="J255" s="53"/>
      <c r="K255" s="53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x14ac:dyDescent="0.25">
      <c r="A256" s="6">
        <v>2</v>
      </c>
      <c r="B256" s="6">
        <v>1.1279999999999999</v>
      </c>
      <c r="C256" s="6">
        <v>2.8340000000000001</v>
      </c>
      <c r="D256" s="6">
        <v>3.6859999999999999</v>
      </c>
      <c r="E256" s="63"/>
      <c r="F256" s="63"/>
      <c r="G256" s="53"/>
      <c r="H256" s="53"/>
      <c r="I256" s="53"/>
      <c r="J256" s="53"/>
      <c r="K256" s="53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x14ac:dyDescent="0.25">
      <c r="A257" s="5">
        <v>3</v>
      </c>
      <c r="B257" s="5">
        <v>1.6930000000000001</v>
      </c>
      <c r="C257" s="5">
        <v>3.4689999999999999</v>
      </c>
      <c r="D257" s="5">
        <v>4.3579999999999997</v>
      </c>
      <c r="E257" s="63"/>
      <c r="F257" s="53"/>
      <c r="G257" s="53"/>
      <c r="H257" s="53"/>
      <c r="I257" s="53"/>
      <c r="J257" s="53"/>
      <c r="K257" s="53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x14ac:dyDescent="0.25">
      <c r="A258" s="5">
        <v>4</v>
      </c>
      <c r="B258" s="5">
        <v>2.0590000000000002</v>
      </c>
      <c r="C258" s="5">
        <v>3.819</v>
      </c>
      <c r="D258" s="5">
        <v>4.6980000000000004</v>
      </c>
      <c r="E258" s="63"/>
      <c r="F258" s="53"/>
      <c r="G258" s="53"/>
      <c r="H258" s="53"/>
      <c r="I258" s="53"/>
      <c r="J258" s="53"/>
      <c r="K258" s="53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x14ac:dyDescent="0.25">
      <c r="A259" s="5">
        <v>5</v>
      </c>
      <c r="B259" s="5">
        <v>2.3260000000000001</v>
      </c>
      <c r="C259" s="5">
        <v>4.0540000000000003</v>
      </c>
      <c r="D259" s="5">
        <v>4.9180000000000001</v>
      </c>
      <c r="E259" s="63"/>
      <c r="F259" s="53"/>
      <c r="G259" s="53"/>
      <c r="H259" s="53"/>
      <c r="I259" s="53"/>
      <c r="J259" s="53"/>
      <c r="K259" s="53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x14ac:dyDescent="0.25">
      <c r="A260" s="1"/>
      <c r="B260" s="1"/>
      <c r="C260" s="1"/>
      <c r="D260" s="1"/>
      <c r="E260" s="53"/>
      <c r="F260" s="53"/>
      <c r="G260" s="53"/>
      <c r="H260" s="53"/>
      <c r="I260" s="53"/>
      <c r="J260" s="53"/>
      <c r="K260" s="53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x14ac:dyDescent="0.25">
      <c r="A261" s="1"/>
      <c r="B261" s="1"/>
      <c r="C261" s="1"/>
      <c r="D261" s="1"/>
      <c r="E261" s="53"/>
      <c r="F261" s="63"/>
      <c r="G261" s="53"/>
      <c r="H261" s="53"/>
      <c r="I261" s="53"/>
      <c r="J261" s="53"/>
      <c r="K261" s="53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x14ac:dyDescent="0.25">
      <c r="A262" s="1"/>
      <c r="B262" s="1"/>
      <c r="C262" s="1"/>
      <c r="D262" s="1"/>
      <c r="E262" s="53"/>
      <c r="F262" s="63"/>
      <c r="G262" s="53"/>
      <c r="H262" s="53"/>
      <c r="I262" s="53"/>
      <c r="J262" s="53"/>
      <c r="K262" s="53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x14ac:dyDescent="0.25">
      <c r="A263" s="1"/>
      <c r="B263" s="1"/>
      <c r="C263" s="1"/>
      <c r="D263" s="1"/>
      <c r="E263" s="53"/>
      <c r="F263" s="63"/>
      <c r="G263" s="53"/>
      <c r="H263" s="53"/>
      <c r="I263" s="53"/>
      <c r="J263" s="53"/>
      <c r="K263" s="53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x14ac:dyDescent="0.25">
      <c r="A264" s="1"/>
      <c r="B264" s="1"/>
      <c r="C264" s="1"/>
      <c r="D264" s="1"/>
      <c r="E264" s="53"/>
      <c r="F264" s="63"/>
      <c r="G264" s="53"/>
      <c r="H264" s="53"/>
      <c r="I264" s="53"/>
      <c r="J264" s="53"/>
      <c r="K264" s="53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x14ac:dyDescent="0.25">
      <c r="A265" s="1"/>
      <c r="B265" s="1"/>
      <c r="C265" s="1"/>
      <c r="D265" s="1"/>
      <c r="E265" s="53"/>
      <c r="F265" s="63"/>
      <c r="G265" s="53"/>
      <c r="H265" s="53"/>
      <c r="I265" s="53"/>
      <c r="J265" s="53"/>
      <c r="K265" s="53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x14ac:dyDescent="0.25">
      <c r="A266" s="1"/>
      <c r="B266" s="1"/>
      <c r="C266" s="1"/>
      <c r="D266" s="1"/>
      <c r="E266" s="53"/>
      <c r="F266" s="63"/>
      <c r="G266" s="53"/>
      <c r="H266" s="53"/>
      <c r="I266" s="53"/>
      <c r="J266" s="53"/>
      <c r="K266" s="53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x14ac:dyDescent="0.25">
      <c r="A267" s="1"/>
      <c r="B267" s="1"/>
      <c r="C267" s="1"/>
      <c r="D267" s="1"/>
      <c r="E267" s="53"/>
      <c r="F267" s="53"/>
      <c r="G267" s="53"/>
      <c r="H267" s="53"/>
      <c r="I267" s="53"/>
      <c r="J267" s="53"/>
      <c r="K267" s="53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x14ac:dyDescent="0.25">
      <c r="A268" s="1"/>
      <c r="B268" s="1"/>
      <c r="C268" s="1"/>
      <c r="D268" s="1"/>
      <c r="E268" s="53"/>
      <c r="F268" s="53"/>
      <c r="G268" s="53"/>
      <c r="H268" s="53"/>
      <c r="I268" s="53"/>
      <c r="J268" s="53"/>
      <c r="K268" s="53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x14ac:dyDescent="0.25">
      <c r="A269" s="1"/>
      <c r="B269" s="1"/>
      <c r="C269" s="1"/>
      <c r="D269" s="1"/>
      <c r="E269" s="53"/>
      <c r="F269" s="53"/>
      <c r="G269" s="53"/>
      <c r="H269" s="53"/>
      <c r="I269" s="53"/>
      <c r="J269" s="53"/>
      <c r="K269" s="53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x14ac:dyDescent="0.25">
      <c r="A270" s="1"/>
      <c r="B270" s="1"/>
      <c r="C270" s="1"/>
      <c r="D270" s="1"/>
      <c r="E270" s="53"/>
      <c r="F270" s="53"/>
      <c r="G270" s="53"/>
      <c r="H270" s="53"/>
      <c r="I270" s="53"/>
      <c r="J270" s="53"/>
      <c r="K270" s="53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x14ac:dyDescent="0.25">
      <c r="A271" s="1"/>
      <c r="B271" s="1"/>
      <c r="C271" s="1"/>
      <c r="D271" s="1"/>
      <c r="E271" s="53"/>
      <c r="F271" s="53"/>
      <c r="G271" s="53"/>
      <c r="H271" s="53"/>
      <c r="I271" s="53"/>
      <c r="J271" s="53"/>
      <c r="K271" s="53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x14ac:dyDescent="0.25">
      <c r="A272" s="1"/>
      <c r="B272" s="1"/>
      <c r="C272" s="1"/>
      <c r="D272" s="1"/>
      <c r="E272" s="53"/>
      <c r="F272" s="53"/>
      <c r="G272" s="53"/>
      <c r="H272" s="53"/>
      <c r="I272" s="53"/>
      <c r="J272" s="53"/>
      <c r="K272" s="53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x14ac:dyDescent="0.25">
      <c r="A273" s="1"/>
      <c r="B273" s="1"/>
      <c r="C273" s="1"/>
      <c r="D273" s="1"/>
      <c r="E273" s="53"/>
      <c r="F273" s="53"/>
      <c r="G273" s="53"/>
      <c r="H273" s="53"/>
      <c r="I273" s="53"/>
      <c r="J273" s="53"/>
      <c r="K273" s="53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x14ac:dyDescent="0.25">
      <c r="A274" s="1"/>
      <c r="B274" s="1"/>
      <c r="C274" s="1"/>
      <c r="D274" s="1"/>
      <c r="E274" s="53"/>
      <c r="F274" s="53"/>
      <c r="G274" s="53"/>
      <c r="H274" s="53"/>
      <c r="I274" s="53"/>
      <c r="J274" s="53"/>
      <c r="K274" s="53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x14ac:dyDescent="0.25">
      <c r="A275" s="1"/>
      <c r="B275" s="1"/>
      <c r="C275" s="1"/>
      <c r="D275" s="1"/>
      <c r="E275" s="53"/>
      <c r="F275" s="53"/>
      <c r="G275" s="53"/>
      <c r="H275" s="53"/>
      <c r="I275" s="53"/>
      <c r="J275" s="53"/>
      <c r="K275" s="53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x14ac:dyDescent="0.25">
      <c r="A276" s="1"/>
      <c r="B276" s="1"/>
      <c r="C276" s="1"/>
      <c r="D276" s="1"/>
      <c r="E276" s="53"/>
      <c r="F276" s="53"/>
      <c r="G276" s="53"/>
      <c r="H276" s="53"/>
      <c r="I276" s="53"/>
      <c r="J276" s="53"/>
      <c r="K276" s="53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x14ac:dyDescent="0.25">
      <c r="A277" s="1"/>
      <c r="B277" s="1"/>
      <c r="C277" s="1"/>
      <c r="D277" s="1"/>
      <c r="E277" s="53"/>
      <c r="F277" s="53"/>
      <c r="G277" s="53"/>
      <c r="H277" s="53"/>
      <c r="I277" s="53"/>
      <c r="J277" s="53"/>
      <c r="K277" s="53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x14ac:dyDescent="0.25">
      <c r="A278" s="1"/>
      <c r="B278" s="1"/>
      <c r="C278" s="1"/>
      <c r="D278" s="1"/>
      <c r="E278" s="53"/>
      <c r="F278" s="53"/>
      <c r="G278" s="53"/>
      <c r="H278" s="53"/>
      <c r="I278" s="53"/>
      <c r="J278" s="53"/>
      <c r="K278" s="53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x14ac:dyDescent="0.25">
      <c r="A279" s="1"/>
      <c r="B279" s="1"/>
      <c r="C279" s="1"/>
      <c r="D279" s="1"/>
      <c r="E279" s="53"/>
      <c r="F279" s="53"/>
      <c r="G279" s="53"/>
      <c r="H279" s="53"/>
      <c r="I279" s="53"/>
      <c r="J279" s="53"/>
      <c r="K279" s="53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x14ac:dyDescent="0.25">
      <c r="A280" s="1"/>
      <c r="B280" s="1"/>
      <c r="C280" s="1"/>
      <c r="D280" s="1"/>
      <c r="E280" s="53"/>
      <c r="F280" s="53"/>
      <c r="G280" s="53"/>
      <c r="H280" s="53"/>
      <c r="I280" s="53"/>
      <c r="J280" s="53"/>
      <c r="K280" s="53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x14ac:dyDescent="0.25">
      <c r="A281" s="1"/>
      <c r="B281" s="1"/>
      <c r="C281" s="1"/>
      <c r="D281" s="1"/>
      <c r="E281" s="53"/>
      <c r="F281" s="53"/>
      <c r="G281" s="53"/>
      <c r="H281" s="53"/>
      <c r="I281" s="53"/>
      <c r="J281" s="53"/>
      <c r="K281" s="53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x14ac:dyDescent="0.25">
      <c r="A282" s="1"/>
      <c r="B282" s="1"/>
      <c r="C282" s="1"/>
      <c r="D282" s="1"/>
      <c r="E282" s="53"/>
      <c r="F282" s="53"/>
      <c r="G282" s="53"/>
      <c r="H282" s="53"/>
      <c r="I282" s="53"/>
      <c r="J282" s="53"/>
      <c r="K282" s="53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21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21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21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21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21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21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21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</sheetData>
  <sheetProtection sheet="1" objects="1" scenarios="1" formatCells="0" formatColumns="0" formatRows="0"/>
  <mergeCells count="402">
    <mergeCell ref="E135:F135"/>
    <mergeCell ref="E136:F136"/>
    <mergeCell ref="E137:F137"/>
    <mergeCell ref="E138:F138"/>
    <mergeCell ref="E139:F139"/>
    <mergeCell ref="E140:F140"/>
    <mergeCell ref="E151:F151"/>
    <mergeCell ref="E152:F152"/>
    <mergeCell ref="E153:F153"/>
    <mergeCell ref="E141:F141"/>
    <mergeCell ref="E142:F142"/>
    <mergeCell ref="E143:F143"/>
    <mergeCell ref="E144:F144"/>
    <mergeCell ref="I18:L18"/>
    <mergeCell ref="K19:L19"/>
    <mergeCell ref="E131:F131"/>
    <mergeCell ref="E132:F132"/>
    <mergeCell ref="E133:F133"/>
    <mergeCell ref="E134:F134"/>
    <mergeCell ref="A18:A19"/>
    <mergeCell ref="B18:B19"/>
    <mergeCell ref="F18:H18"/>
    <mergeCell ref="E112:F112"/>
    <mergeCell ref="E113:F113"/>
    <mergeCell ref="E114:F114"/>
    <mergeCell ref="E115:F115"/>
    <mergeCell ref="E116:F116"/>
    <mergeCell ref="E125:F125"/>
    <mergeCell ref="E126:F126"/>
    <mergeCell ref="E117:F117"/>
    <mergeCell ref="E118:F118"/>
    <mergeCell ref="G98:H98"/>
    <mergeCell ref="K98:L98"/>
    <mergeCell ref="B108:D108"/>
    <mergeCell ref="B109:D109"/>
    <mergeCell ref="B110:D110"/>
    <mergeCell ref="B111:D111"/>
    <mergeCell ref="A4:H4"/>
    <mergeCell ref="A5:H5"/>
    <mergeCell ref="A6:H6"/>
    <mergeCell ref="A7:H7"/>
    <mergeCell ref="A11:H11"/>
    <mergeCell ref="A12:H12"/>
    <mergeCell ref="A13:H14"/>
    <mergeCell ref="I6:L6"/>
    <mergeCell ref="I5:L5"/>
    <mergeCell ref="I4:L4"/>
    <mergeCell ref="A8:H8"/>
    <mergeCell ref="A9:H9"/>
    <mergeCell ref="I13:I14"/>
    <mergeCell ref="J13:J14"/>
    <mergeCell ref="K13:L13"/>
    <mergeCell ref="S19:W19"/>
    <mergeCell ref="K22:L22"/>
    <mergeCell ref="K41:L41"/>
    <mergeCell ref="K20:L20"/>
    <mergeCell ref="K21:L21"/>
    <mergeCell ref="K48:L48"/>
    <mergeCell ref="K49:L49"/>
    <mergeCell ref="M19:O19"/>
    <mergeCell ref="P19:R19"/>
    <mergeCell ref="K44:L44"/>
    <mergeCell ref="K45:L45"/>
    <mergeCell ref="K46:L46"/>
    <mergeCell ref="K47:L47"/>
    <mergeCell ref="K34:L34"/>
    <mergeCell ref="K23:L23"/>
    <mergeCell ref="K24:L24"/>
    <mergeCell ref="K25:L25"/>
    <mergeCell ref="K26:L26"/>
    <mergeCell ref="K27:L27"/>
    <mergeCell ref="K28:L28"/>
    <mergeCell ref="K42:L42"/>
    <mergeCell ref="K43:L43"/>
    <mergeCell ref="K39:L39"/>
    <mergeCell ref="K40:L40"/>
    <mergeCell ref="G157:H157"/>
    <mergeCell ref="G158:H158"/>
    <mergeCell ref="G159:H159"/>
    <mergeCell ref="G160:H160"/>
    <mergeCell ref="G161:H161"/>
    <mergeCell ref="E145:F145"/>
    <mergeCell ref="E154:F154"/>
    <mergeCell ref="E155:F155"/>
    <mergeCell ref="E150:F150"/>
    <mergeCell ref="E146:F146"/>
    <mergeCell ref="E147:F147"/>
    <mergeCell ref="E148:F148"/>
    <mergeCell ref="E149:F149"/>
    <mergeCell ref="E161:F161"/>
    <mergeCell ref="G148:H148"/>
    <mergeCell ref="G149:H149"/>
    <mergeCell ref="G150:H150"/>
    <mergeCell ref="G151:H151"/>
    <mergeCell ref="G152:H152"/>
    <mergeCell ref="G153:H153"/>
    <mergeCell ref="G154:H154"/>
    <mergeCell ref="G155:H155"/>
    <mergeCell ref="G156:H156"/>
    <mergeCell ref="E164:F164"/>
    <mergeCell ref="E165:F165"/>
    <mergeCell ref="E166:F166"/>
    <mergeCell ref="E167:F167"/>
    <mergeCell ref="E156:F156"/>
    <mergeCell ref="E157:F157"/>
    <mergeCell ref="E158:F158"/>
    <mergeCell ref="E159:F159"/>
    <mergeCell ref="E160:F160"/>
    <mergeCell ref="E173:F173"/>
    <mergeCell ref="E174:F174"/>
    <mergeCell ref="E175:F175"/>
    <mergeCell ref="E176:F176"/>
    <mergeCell ref="E177:F177"/>
    <mergeCell ref="E168:F168"/>
    <mergeCell ref="E169:F169"/>
    <mergeCell ref="E170:F170"/>
    <mergeCell ref="E171:F171"/>
    <mergeCell ref="E172:F172"/>
    <mergeCell ref="E192:F192"/>
    <mergeCell ref="E183:F183"/>
    <mergeCell ref="E184:F184"/>
    <mergeCell ref="E185:F185"/>
    <mergeCell ref="E186:F186"/>
    <mergeCell ref="E187:F187"/>
    <mergeCell ref="E178:F178"/>
    <mergeCell ref="E179:F179"/>
    <mergeCell ref="E180:F180"/>
    <mergeCell ref="E181:F181"/>
    <mergeCell ref="E182:F182"/>
    <mergeCell ref="E193:F193"/>
    <mergeCell ref="E194:F194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108:F108"/>
    <mergeCell ref="E109:F109"/>
    <mergeCell ref="E110:F110"/>
    <mergeCell ref="E111:F111"/>
    <mergeCell ref="E188:F188"/>
    <mergeCell ref="E189:F189"/>
    <mergeCell ref="E190:F190"/>
    <mergeCell ref="E191:F191"/>
    <mergeCell ref="E127:F127"/>
    <mergeCell ref="E128:F128"/>
    <mergeCell ref="E122:F122"/>
    <mergeCell ref="E123:F123"/>
    <mergeCell ref="E124:F124"/>
    <mergeCell ref="A1:L1"/>
    <mergeCell ref="A51:L51"/>
    <mergeCell ref="B98:D98"/>
    <mergeCell ref="E98:F98"/>
    <mergeCell ref="E119:F119"/>
    <mergeCell ref="E120:F120"/>
    <mergeCell ref="E121:F121"/>
    <mergeCell ref="K17:L17"/>
    <mergeCell ref="A10:H10"/>
    <mergeCell ref="A15:H15"/>
    <mergeCell ref="A16:H16"/>
    <mergeCell ref="A17:H17"/>
    <mergeCell ref="K29:L29"/>
    <mergeCell ref="K30:L30"/>
    <mergeCell ref="K31:L31"/>
    <mergeCell ref="K32:L32"/>
    <mergeCell ref="K33:L33"/>
    <mergeCell ref="K35:L35"/>
    <mergeCell ref="K36:L36"/>
    <mergeCell ref="K37:L37"/>
    <mergeCell ref="K38:L38"/>
    <mergeCell ref="C18:E18"/>
    <mergeCell ref="B106:D106"/>
    <mergeCell ref="B107:D107"/>
    <mergeCell ref="B112:D112"/>
    <mergeCell ref="B113:D113"/>
    <mergeCell ref="B114:D114"/>
    <mergeCell ref="B125:D125"/>
    <mergeCell ref="B126:D126"/>
    <mergeCell ref="B127:D127"/>
    <mergeCell ref="B128:D128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G118:H118"/>
    <mergeCell ref="G119:H119"/>
    <mergeCell ref="G120:H120"/>
    <mergeCell ref="G121:H121"/>
    <mergeCell ref="G122:H122"/>
    <mergeCell ref="G123:H123"/>
    <mergeCell ref="G124:H124"/>
    <mergeCell ref="G125:H125"/>
    <mergeCell ref="G126:H126"/>
    <mergeCell ref="G127:H127"/>
    <mergeCell ref="G128:H128"/>
    <mergeCell ref="B99:D99"/>
    <mergeCell ref="B100:D100"/>
    <mergeCell ref="B101:D101"/>
    <mergeCell ref="B102:D102"/>
    <mergeCell ref="B103:D103"/>
    <mergeCell ref="B104:D104"/>
    <mergeCell ref="B105:D105"/>
    <mergeCell ref="G99:H99"/>
    <mergeCell ref="G100:H100"/>
    <mergeCell ref="G101:H101"/>
    <mergeCell ref="G102:H102"/>
    <mergeCell ref="G103:H103"/>
    <mergeCell ref="G104:H104"/>
    <mergeCell ref="G105:H105"/>
    <mergeCell ref="G106:H106"/>
    <mergeCell ref="G107:H107"/>
    <mergeCell ref="G108:H108"/>
    <mergeCell ref="G109:H109"/>
    <mergeCell ref="G110:H110"/>
    <mergeCell ref="G111:H111"/>
    <mergeCell ref="G112:H112"/>
    <mergeCell ref="G113:H113"/>
    <mergeCell ref="G117:H117"/>
    <mergeCell ref="K99:L99"/>
    <mergeCell ref="K100:L100"/>
    <mergeCell ref="K101:L101"/>
    <mergeCell ref="K102:L102"/>
    <mergeCell ref="K103:L103"/>
    <mergeCell ref="K104:L104"/>
    <mergeCell ref="K105:L105"/>
    <mergeCell ref="K106:L106"/>
    <mergeCell ref="K107:L107"/>
    <mergeCell ref="K108:L108"/>
    <mergeCell ref="K109:L109"/>
    <mergeCell ref="K110:L110"/>
    <mergeCell ref="K111:L111"/>
    <mergeCell ref="K112:L112"/>
    <mergeCell ref="K113:L113"/>
    <mergeCell ref="K114:L114"/>
    <mergeCell ref="K115:L115"/>
    <mergeCell ref="K116:L116"/>
    <mergeCell ref="K117:L117"/>
    <mergeCell ref="K127:L127"/>
    <mergeCell ref="K128:L128"/>
    <mergeCell ref="A97:L97"/>
    <mergeCell ref="B131:D131"/>
    <mergeCell ref="B132:D132"/>
    <mergeCell ref="B133:D133"/>
    <mergeCell ref="B134:D134"/>
    <mergeCell ref="B135:D135"/>
    <mergeCell ref="B136:D136"/>
    <mergeCell ref="K131:L131"/>
    <mergeCell ref="K132:L132"/>
    <mergeCell ref="A130:L130"/>
    <mergeCell ref="K118:L118"/>
    <mergeCell ref="K119:L119"/>
    <mergeCell ref="K120:L120"/>
    <mergeCell ref="K121:L121"/>
    <mergeCell ref="K122:L122"/>
    <mergeCell ref="K123:L123"/>
    <mergeCell ref="K124:L124"/>
    <mergeCell ref="K125:L125"/>
    <mergeCell ref="K126:L126"/>
    <mergeCell ref="G114:H114"/>
    <mergeCell ref="G115:H115"/>
    <mergeCell ref="G116:H116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B152:D152"/>
    <mergeCell ref="B153:D153"/>
    <mergeCell ref="B154:D154"/>
    <mergeCell ref="B155:D155"/>
    <mergeCell ref="B156:D156"/>
    <mergeCell ref="B157:D157"/>
    <mergeCell ref="B158:D158"/>
    <mergeCell ref="B159:D159"/>
    <mergeCell ref="B160:D160"/>
    <mergeCell ref="B161:D161"/>
    <mergeCell ref="G131:H131"/>
    <mergeCell ref="G132:H132"/>
    <mergeCell ref="G133:H133"/>
    <mergeCell ref="G134:H134"/>
    <mergeCell ref="G135:H135"/>
    <mergeCell ref="G136:H136"/>
    <mergeCell ref="G137:H137"/>
    <mergeCell ref="G138:H138"/>
    <mergeCell ref="G139:H139"/>
    <mergeCell ref="G140:H140"/>
    <mergeCell ref="G141:H141"/>
    <mergeCell ref="G142:H142"/>
    <mergeCell ref="G143:H143"/>
    <mergeCell ref="G144:H144"/>
    <mergeCell ref="G145:H145"/>
    <mergeCell ref="G146:H146"/>
    <mergeCell ref="G147:H147"/>
    <mergeCell ref="B164:D164"/>
    <mergeCell ref="B165:D165"/>
    <mergeCell ref="B166:D166"/>
    <mergeCell ref="B167:D167"/>
    <mergeCell ref="B168:D168"/>
    <mergeCell ref="B169:D169"/>
    <mergeCell ref="B170:D170"/>
    <mergeCell ref="B171:D171"/>
    <mergeCell ref="B172:D172"/>
    <mergeCell ref="B186:D186"/>
    <mergeCell ref="B187:D187"/>
    <mergeCell ref="B188:D188"/>
    <mergeCell ref="B189:D189"/>
    <mergeCell ref="B190:D190"/>
    <mergeCell ref="B173:D173"/>
    <mergeCell ref="B174:D174"/>
    <mergeCell ref="B175:D175"/>
    <mergeCell ref="B176:D176"/>
    <mergeCell ref="B177:D177"/>
    <mergeCell ref="B178:D178"/>
    <mergeCell ref="B179:D179"/>
    <mergeCell ref="B180:D180"/>
    <mergeCell ref="B181:D181"/>
    <mergeCell ref="G179:H179"/>
    <mergeCell ref="G180:H180"/>
    <mergeCell ref="G181:H181"/>
    <mergeCell ref="G182:H182"/>
    <mergeCell ref="G183:H183"/>
    <mergeCell ref="B182:D182"/>
    <mergeCell ref="B183:D183"/>
    <mergeCell ref="B184:D184"/>
    <mergeCell ref="B185:D185"/>
    <mergeCell ref="G170:H170"/>
    <mergeCell ref="G171:H171"/>
    <mergeCell ref="G172:H172"/>
    <mergeCell ref="G173:H173"/>
    <mergeCell ref="G174:H174"/>
    <mergeCell ref="G175:H175"/>
    <mergeCell ref="G176:H176"/>
    <mergeCell ref="G177:H177"/>
    <mergeCell ref="G178:H178"/>
    <mergeCell ref="G193:H193"/>
    <mergeCell ref="G194:H194"/>
    <mergeCell ref="K164:L164"/>
    <mergeCell ref="K165:L165"/>
    <mergeCell ref="A163:L163"/>
    <mergeCell ref="G184:H184"/>
    <mergeCell ref="G185:H185"/>
    <mergeCell ref="G186:H186"/>
    <mergeCell ref="G187:H187"/>
    <mergeCell ref="G188:H188"/>
    <mergeCell ref="G189:H189"/>
    <mergeCell ref="G190:H190"/>
    <mergeCell ref="G191:H191"/>
    <mergeCell ref="G192:H192"/>
    <mergeCell ref="B191:D191"/>
    <mergeCell ref="B192:D192"/>
    <mergeCell ref="B193:D193"/>
    <mergeCell ref="B194:D194"/>
    <mergeCell ref="G164:H164"/>
    <mergeCell ref="G165:H165"/>
    <mergeCell ref="G166:H166"/>
    <mergeCell ref="G167:H167"/>
    <mergeCell ref="G168:H168"/>
    <mergeCell ref="G169:H169"/>
    <mergeCell ref="A196:G196"/>
    <mergeCell ref="A208:E208"/>
    <mergeCell ref="A209:E209"/>
    <mergeCell ref="A211:E211"/>
    <mergeCell ref="A213:E213"/>
    <mergeCell ref="A210:E210"/>
    <mergeCell ref="A214:E214"/>
    <mergeCell ref="A251:E251"/>
    <mergeCell ref="A198:E198"/>
    <mergeCell ref="A219:A220"/>
    <mergeCell ref="B219:B220"/>
    <mergeCell ref="C219:E219"/>
    <mergeCell ref="F219:H219"/>
    <mergeCell ref="A199:E199"/>
    <mergeCell ref="A200:E200"/>
    <mergeCell ref="A201:E201"/>
    <mergeCell ref="A202:E202"/>
    <mergeCell ref="A203:E203"/>
    <mergeCell ref="A204:E204"/>
    <mergeCell ref="A205:E205"/>
    <mergeCell ref="A206:E206"/>
    <mergeCell ref="A207:E207"/>
    <mergeCell ref="A212:E212"/>
    <mergeCell ref="A216:G216"/>
  </mergeCells>
  <pageMargins left="0.39370078740157483" right="0.39370078740157483" top="0.39370078740157483" bottom="0.39370078740157483" header="0" footer="0"/>
  <pageSetup paperSize="9" scale="64" fitToHeight="0" orientation="landscape" r:id="rId1"/>
  <rowBreaks count="3" manualBreakCount="3">
    <brk id="50" max="11" man="1"/>
    <brk id="96" max="11" man="1"/>
    <brk id="195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7"/>
  <sheetViews>
    <sheetView zoomScaleNormal="100" workbookViewId="0">
      <selection activeCell="C16" sqref="C16"/>
    </sheetView>
  </sheetViews>
  <sheetFormatPr defaultRowHeight="15" x14ac:dyDescent="0.25"/>
  <cols>
    <col min="1" max="5" width="29.28515625" customWidth="1"/>
  </cols>
  <sheetData>
    <row r="1" spans="1:14" ht="45.75" customHeight="1" x14ac:dyDescent="0.3">
      <c r="A1" s="179" t="s">
        <v>96</v>
      </c>
      <c r="B1" s="180"/>
      <c r="C1" s="180"/>
      <c r="D1" s="180"/>
      <c r="E1" s="180"/>
      <c r="F1" s="15"/>
      <c r="G1" s="15"/>
      <c r="H1" s="15"/>
      <c r="I1" s="15"/>
      <c r="J1" s="15"/>
      <c r="K1" s="15"/>
      <c r="L1" s="15"/>
      <c r="M1" s="15"/>
      <c r="N1" s="15"/>
    </row>
    <row r="2" spans="1:14" ht="15" customHeight="1" x14ac:dyDescent="0.3">
      <c r="A2" s="71"/>
      <c r="B2" s="71"/>
      <c r="C2" s="71"/>
      <c r="D2" s="71"/>
      <c r="E2" s="71"/>
      <c r="F2" s="15"/>
      <c r="G2" s="15"/>
      <c r="H2" s="15"/>
      <c r="I2" s="15"/>
      <c r="J2" s="15"/>
      <c r="K2" s="15"/>
      <c r="L2" s="15"/>
      <c r="M2" s="15"/>
      <c r="N2" s="15"/>
    </row>
    <row r="3" spans="1:14" ht="48.75" customHeight="1" x14ac:dyDescent="0.3">
      <c r="A3" s="71"/>
      <c r="B3" s="71"/>
      <c r="C3" s="71"/>
      <c r="D3" s="179" t="s">
        <v>106</v>
      </c>
      <c r="E3" s="179"/>
      <c r="F3" s="15"/>
      <c r="G3" s="15"/>
      <c r="H3" s="15"/>
      <c r="I3" s="15"/>
      <c r="J3" s="15"/>
      <c r="K3" s="15"/>
      <c r="L3" s="15"/>
      <c r="M3" s="15"/>
      <c r="N3" s="15"/>
    </row>
    <row r="4" spans="1:14" ht="27.75" customHeight="1" x14ac:dyDescent="0.3">
      <c r="A4" s="71"/>
      <c r="B4" s="71"/>
      <c r="C4" s="71"/>
      <c r="D4" s="179" t="str">
        <f>'Исходные данные'!E50</f>
        <v>Заведущий лабораторией</v>
      </c>
      <c r="E4" s="179"/>
      <c r="F4" s="15"/>
      <c r="G4" s="15"/>
      <c r="H4" s="15"/>
      <c r="I4" s="15"/>
      <c r="J4" s="15"/>
      <c r="K4" s="15"/>
      <c r="L4" s="15"/>
      <c r="M4" s="15"/>
      <c r="N4" s="15"/>
    </row>
    <row r="5" spans="1:14" ht="36.75" customHeight="1" x14ac:dyDescent="0.3">
      <c r="A5" s="71"/>
      <c r="B5" s="71"/>
      <c r="C5" s="71"/>
      <c r="D5" s="72"/>
      <c r="E5" s="71" t="str">
        <f>'Исходные данные'!E51</f>
        <v>П.П. Иваненко</v>
      </c>
      <c r="F5" s="15"/>
      <c r="G5" s="15"/>
      <c r="H5" s="15"/>
      <c r="I5" s="15"/>
      <c r="J5" s="15"/>
      <c r="K5" s="15"/>
      <c r="L5" s="15"/>
      <c r="M5" s="15"/>
      <c r="N5" s="15"/>
    </row>
    <row r="6" spans="1:14" ht="36.75" customHeight="1" x14ac:dyDescent="0.3">
      <c r="A6" s="71"/>
      <c r="B6" s="71"/>
      <c r="C6" s="71"/>
      <c r="D6" s="179" t="s">
        <v>107</v>
      </c>
      <c r="E6" s="189"/>
      <c r="F6" s="15"/>
      <c r="G6" s="15"/>
      <c r="H6" s="15"/>
      <c r="I6" s="15"/>
      <c r="J6" s="15"/>
      <c r="K6" s="15"/>
      <c r="L6" s="15"/>
      <c r="M6" s="15"/>
      <c r="N6" s="15"/>
    </row>
    <row r="7" spans="1:14" ht="15" customHeight="1" x14ac:dyDescent="0.3">
      <c r="A7" s="71"/>
      <c r="B7" s="71"/>
      <c r="C7" s="71"/>
      <c r="D7" s="71"/>
      <c r="E7" s="71"/>
      <c r="F7" s="15"/>
      <c r="G7" s="15"/>
      <c r="H7" s="15"/>
      <c r="I7" s="15"/>
      <c r="J7" s="15"/>
      <c r="K7" s="15"/>
      <c r="L7" s="15"/>
      <c r="M7" s="15"/>
      <c r="N7" s="15"/>
    </row>
    <row r="8" spans="1:14" ht="15" customHeight="1" x14ac:dyDescent="0.25">
      <c r="A8" s="73"/>
      <c r="B8" s="73"/>
      <c r="C8" s="73"/>
      <c r="D8" s="73"/>
      <c r="E8" s="73"/>
      <c r="F8" s="15"/>
      <c r="G8" s="15"/>
      <c r="H8" s="15"/>
      <c r="I8" s="15"/>
      <c r="J8" s="15"/>
      <c r="K8" s="15"/>
      <c r="L8" s="15"/>
      <c r="M8" s="15"/>
      <c r="N8" s="15"/>
    </row>
    <row r="9" spans="1:14" ht="31.5" customHeight="1" x14ac:dyDescent="0.25">
      <c r="A9" s="181" t="s">
        <v>97</v>
      </c>
      <c r="B9" s="182"/>
      <c r="C9" s="187" t="str">
        <f>'Исходные данные'!E3</f>
        <v>Лаборатория ООО "Рога и копыта"</v>
      </c>
      <c r="D9" s="188"/>
      <c r="E9" s="188"/>
      <c r="F9" s="15"/>
      <c r="G9" s="15"/>
      <c r="H9" s="15"/>
      <c r="I9" s="15"/>
      <c r="J9" s="15"/>
      <c r="K9" s="15"/>
      <c r="L9" s="15"/>
      <c r="M9" s="15"/>
      <c r="N9" s="15"/>
    </row>
    <row r="10" spans="1:14" ht="61.5" customHeight="1" x14ac:dyDescent="0.25">
      <c r="A10" s="181" t="s">
        <v>98</v>
      </c>
      <c r="B10" s="182"/>
      <c r="C10" s="183" t="str">
        <f>'Исходные данные'!E6</f>
        <v>Аттестованная методика измерений определения содержания токсичных элементов (кадмия, свинца, меди и цинка) в продуктах пищевых и продовольственном сырье инверсионно-вольтамперометрическими методами</v>
      </c>
      <c r="D10" s="184"/>
      <c r="E10" s="184"/>
      <c r="F10" s="15"/>
      <c r="G10" s="15"/>
      <c r="H10" s="15"/>
      <c r="I10" s="15"/>
      <c r="J10" s="15"/>
      <c r="K10" s="15"/>
      <c r="L10" s="15"/>
      <c r="M10" s="15"/>
      <c r="N10" s="15"/>
    </row>
    <row r="11" spans="1:14" ht="31.5" customHeight="1" x14ac:dyDescent="0.25">
      <c r="A11" s="181" t="s">
        <v>99</v>
      </c>
      <c r="B11" s="182"/>
      <c r="C11" s="185" t="str">
        <f>'Исходные данные'!E7</f>
        <v>МУК ХХХХХ</v>
      </c>
      <c r="D11" s="186"/>
      <c r="E11" s="186"/>
      <c r="F11" s="15"/>
      <c r="G11" s="15"/>
      <c r="H11" s="15"/>
      <c r="I11" s="15"/>
      <c r="J11" s="15"/>
      <c r="K11" s="15"/>
      <c r="L11" s="15"/>
      <c r="M11" s="15"/>
      <c r="N11" s="15"/>
    </row>
    <row r="12" spans="1:14" ht="31.5" customHeight="1" x14ac:dyDescent="0.25">
      <c r="A12" s="181" t="s">
        <v>115</v>
      </c>
      <c r="B12" s="182"/>
      <c r="C12" s="183" t="str">
        <f>IF(ISBLANK('Исходные данные'!E15),"",'Исходные данные'!E15)</f>
        <v>контрольных измерений</v>
      </c>
      <c r="D12" s="190"/>
      <c r="E12" s="190"/>
      <c r="F12" s="15"/>
      <c r="G12" s="15"/>
      <c r="H12" s="15"/>
      <c r="I12" s="15"/>
      <c r="J12" s="15"/>
      <c r="K12" s="15"/>
      <c r="L12" s="15"/>
      <c r="M12" s="15"/>
      <c r="N12" s="15"/>
    </row>
    <row r="13" spans="1:14" ht="15.75" x14ac:dyDescent="0.25">
      <c r="A13" s="176" t="s">
        <v>116</v>
      </c>
      <c r="B13" s="177"/>
      <c r="C13" s="178" t="str">
        <f>CONCATENATE("с ",TEXT(MIN('Исходные данные'!B19:B48),"ДД.ММ.ГГГГ")," по ",TEXT(MAX('Исходные данные'!B19:B48),"ДД.ММ.ГГГГ"))</f>
        <v>с 11.01.2016 по 09.02.2016</v>
      </c>
      <c r="D13" s="178"/>
      <c r="E13" s="178"/>
      <c r="F13" s="15"/>
      <c r="G13" s="15"/>
      <c r="H13" s="15"/>
      <c r="I13" s="15"/>
      <c r="J13" s="15"/>
      <c r="K13" s="15"/>
      <c r="L13" s="15"/>
      <c r="M13" s="15"/>
      <c r="N13" s="15"/>
    </row>
    <row r="14" spans="1:14" ht="15.75" x14ac:dyDescent="0.2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</row>
    <row r="15" spans="1:14" ht="15.75" x14ac:dyDescent="0.25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6" spans="1:14" ht="96" customHeight="1" x14ac:dyDescent="0.25">
      <c r="A16" s="38" t="s">
        <v>89</v>
      </c>
      <c r="B16" s="38" t="s">
        <v>92</v>
      </c>
      <c r="C16" s="38" t="s">
        <v>93</v>
      </c>
      <c r="D16" s="38" t="s">
        <v>94</v>
      </c>
      <c r="E16" s="38" t="s">
        <v>95</v>
      </c>
      <c r="F16" s="15"/>
      <c r="G16" s="15"/>
      <c r="H16" s="15"/>
      <c r="I16" s="15"/>
      <c r="J16" s="15"/>
      <c r="K16" s="15"/>
      <c r="L16" s="15"/>
      <c r="M16" s="15"/>
      <c r="N16" s="15"/>
    </row>
    <row r="17" spans="1:14" ht="67.5" customHeight="1" x14ac:dyDescent="0.25">
      <c r="A17" s="38" t="str">
        <f>CONCATENATE('Исходные данные'!E5,", диапазон ",'Исходные данные'!E8,", ",'Исходные данные'!E9)</f>
        <v>Массовая доля кадмия , диапазон от 0,005 до 1,5 вкл., мк/кг</v>
      </c>
      <c r="B17" s="69">
        <f>ККШ!G214</f>
        <v>8.8304249230536627</v>
      </c>
      <c r="C17" s="69">
        <f>ККШ!G199</f>
        <v>11.441429891292158</v>
      </c>
      <c r="D17" s="70">
        <f>IF(ККШ!G204="выполняется",ККШ!G206,ККШ!G207)</f>
        <v>4.4145739517896292</v>
      </c>
      <c r="E17" s="69">
        <f>ККШ!G213</f>
        <v>22.882859782584315</v>
      </c>
      <c r="F17" s="15"/>
      <c r="G17" s="15"/>
      <c r="H17" s="15"/>
      <c r="I17" s="15"/>
      <c r="J17" s="15"/>
      <c r="K17" s="15"/>
      <c r="L17" s="15"/>
      <c r="M17" s="15"/>
      <c r="N17" s="15"/>
    </row>
    <row r="18" spans="1:14" ht="15.75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1:14" ht="15.75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1:14" ht="15.75" x14ac:dyDescent="0.25">
      <c r="A20" s="64" t="str">
        <f>'Исходные данные'!E52</f>
        <v>Менеджер по качеству</v>
      </c>
      <c r="B20" s="15"/>
      <c r="C20" s="15"/>
      <c r="D20" s="15"/>
      <c r="E20" s="74" t="str">
        <f>'Исходные данные'!E53:F53</f>
        <v>И.И. Петренко</v>
      </c>
      <c r="F20" s="15"/>
      <c r="G20" s="15"/>
      <c r="H20" s="15"/>
      <c r="I20" s="15"/>
      <c r="J20" s="15"/>
      <c r="K20" s="15"/>
      <c r="L20" s="15"/>
      <c r="M20" s="15"/>
      <c r="N20" s="15"/>
    </row>
    <row r="21" spans="1:14" ht="15.75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</row>
    <row r="22" spans="1:14" ht="15.75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</row>
    <row r="23" spans="1:14" ht="15.75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1:14" ht="15.75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</row>
    <row r="25" spans="1:14" ht="15.75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</row>
    <row r="26" spans="1:14" ht="15.75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1:14" ht="15.75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</row>
    <row r="28" spans="1:14" ht="15.75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1:14" ht="16.5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1:14" ht="15.75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1:14" ht="15.75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</row>
    <row r="32" spans="1:14" ht="15.75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1:14" ht="15.75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1:14" ht="15.75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</row>
    <row r="35" spans="1:14" ht="15.75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1:14" ht="15.75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1:14" ht="15.75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4" ht="15.75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4" ht="15.75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4" ht="15.75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1:14" ht="15.75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</row>
    <row r="42" spans="1:14" ht="15.75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</row>
    <row r="43" spans="1:14" ht="15.75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ht="15.75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</row>
    <row r="45" spans="1:14" ht="15.75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</row>
    <row r="46" spans="1:14" ht="15.75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</row>
    <row r="47" spans="1:14" ht="15.75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</row>
    <row r="48" spans="1:14" ht="15.75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</row>
    <row r="49" spans="1:14" ht="15.75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</row>
    <row r="50" spans="1:14" x14ac:dyDescent="0.25">
      <c r="A50" s="37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</row>
    <row r="51" spans="1:14" x14ac:dyDescent="0.25">
      <c r="A51" s="37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</row>
    <row r="52" spans="1:14" x14ac:dyDescent="0.25">
      <c r="A52" s="37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</row>
    <row r="53" spans="1:14" x14ac:dyDescent="0.25">
      <c r="A53" s="37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</row>
    <row r="54" spans="1:14" x14ac:dyDescent="0.25">
      <c r="A54" s="37"/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</row>
    <row r="55" spans="1:14" x14ac:dyDescent="0.25">
      <c r="A55" s="37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</row>
    <row r="56" spans="1:14" x14ac:dyDescent="0.25">
      <c r="A56" s="37"/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</row>
    <row r="57" spans="1:14" x14ac:dyDescent="0.25">
      <c r="A57" s="37"/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</row>
  </sheetData>
  <sheetProtection sheet="1" objects="1" scenarios="1" formatCells="0" formatColumns="0" formatRows="0"/>
  <mergeCells count="14">
    <mergeCell ref="A13:B13"/>
    <mergeCell ref="C13:E13"/>
    <mergeCell ref="A1:E1"/>
    <mergeCell ref="A9:B9"/>
    <mergeCell ref="A10:B10"/>
    <mergeCell ref="A11:B11"/>
    <mergeCell ref="A12:B12"/>
    <mergeCell ref="C10:E10"/>
    <mergeCell ref="C11:E11"/>
    <mergeCell ref="C9:E9"/>
    <mergeCell ref="D3:E3"/>
    <mergeCell ref="D4:E4"/>
    <mergeCell ref="D6:E6"/>
    <mergeCell ref="C12:E12"/>
  </mergeCells>
  <pageMargins left="0.59055118110236227" right="0.59055118110236227" top="0.59055118110236227" bottom="0.59055118110236227" header="0.19685039370078741" footer="0.19685039370078741"/>
  <pageSetup paperSize="9" scale="6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9"/>
  <sheetViews>
    <sheetView workbookViewId="0">
      <selection activeCell="D6" sqref="D6"/>
    </sheetView>
  </sheetViews>
  <sheetFormatPr defaultRowHeight="15" x14ac:dyDescent="0.25"/>
  <cols>
    <col min="1" max="1" width="26.42578125" customWidth="1"/>
    <col min="2" max="2" width="20.85546875" customWidth="1"/>
    <col min="3" max="3" width="26.42578125" customWidth="1"/>
    <col min="4" max="4" width="20.85546875" customWidth="1"/>
    <col min="5" max="5" width="26.42578125" customWidth="1"/>
    <col min="6" max="6" width="20.85546875" customWidth="1"/>
  </cols>
  <sheetData>
    <row r="1" spans="1:6" ht="36.75" customHeight="1" x14ac:dyDescent="0.25">
      <c r="A1" s="106" t="s">
        <v>126</v>
      </c>
      <c r="B1" s="106"/>
      <c r="C1" s="106"/>
      <c r="D1" s="106"/>
      <c r="E1" s="106"/>
      <c r="F1" s="106"/>
    </row>
    <row r="3" spans="1:6" ht="15.75" x14ac:dyDescent="0.25">
      <c r="A3" s="78" t="s">
        <v>119</v>
      </c>
      <c r="B3" s="81">
        <f>ROUND(SQRT(POWER('Исходные данные'!E11/'Исходные данные'!E10,2)+(2-1)/2),1)</f>
        <v>1.2</v>
      </c>
    </row>
    <row r="5" spans="1:6" ht="31.5" x14ac:dyDescent="0.25">
      <c r="A5" s="79" t="s">
        <v>120</v>
      </c>
      <c r="B5" s="80">
        <f>VLOOKUP(0.33,A11:B109,2)</f>
        <v>18</v>
      </c>
      <c r="C5" s="79" t="s">
        <v>120</v>
      </c>
      <c r="D5" s="80">
        <f>VLOOKUP(0.33,C11:D109,2)</f>
        <v>11</v>
      </c>
      <c r="E5" s="79" t="s">
        <v>120</v>
      </c>
      <c r="F5" s="80">
        <f>VLOOKUP(0.33,E11:F109,2)</f>
        <v>23</v>
      </c>
    </row>
    <row r="6" spans="1:6" ht="15.75" x14ac:dyDescent="0.25">
      <c r="A6" s="10"/>
      <c r="B6" s="11"/>
    </row>
    <row r="7" spans="1:6" ht="15.75" x14ac:dyDescent="0.25">
      <c r="A7" s="1"/>
      <c r="B7" s="1"/>
      <c r="C7" s="1"/>
      <c r="D7" s="1"/>
      <c r="E7" s="1"/>
    </row>
    <row r="8" spans="1:6" ht="15.75" x14ac:dyDescent="0.25">
      <c r="A8" s="118" t="s">
        <v>121</v>
      </c>
      <c r="B8" s="191"/>
      <c r="C8" s="119"/>
      <c r="D8" s="119"/>
      <c r="E8" s="119"/>
      <c r="F8" s="117"/>
    </row>
    <row r="9" spans="1:6" ht="50.25" customHeight="1" x14ac:dyDescent="0.25">
      <c r="A9" s="118"/>
      <c r="B9" s="117"/>
      <c r="C9" s="192"/>
      <c r="D9" s="117"/>
      <c r="E9" s="192"/>
      <c r="F9" s="117"/>
    </row>
    <row r="10" spans="1:6" ht="31.5" x14ac:dyDescent="0.25">
      <c r="A10" s="77" t="s">
        <v>122</v>
      </c>
      <c r="B10" s="77" t="s">
        <v>123</v>
      </c>
      <c r="C10" s="77" t="s">
        <v>124</v>
      </c>
      <c r="D10" s="77" t="s">
        <v>123</v>
      </c>
      <c r="E10" s="77" t="s">
        <v>125</v>
      </c>
      <c r="F10" s="77" t="s">
        <v>123</v>
      </c>
    </row>
    <row r="11" spans="1:6" ht="15.75" x14ac:dyDescent="0.25">
      <c r="A11" s="82">
        <f>ROUND(1.96*SQRT(1/((2*B11)*(2-1))),3)</f>
        <v>0.13900000000000001</v>
      </c>
      <c r="B11" s="76">
        <v>100</v>
      </c>
      <c r="C11" s="76">
        <f>ROUND(1.96*SQRT((D11*(POWER(1+2*($B$3^2-1),2))+(2-1)*(D11-1))/(2*$B$3^4*2^2*(D11-1)*D11)),3)</f>
        <v>0.10299999999999999</v>
      </c>
      <c r="D11" s="76">
        <v>100</v>
      </c>
      <c r="E11" s="76">
        <f>ROUND(1.96*SQRT((2*($B$3^2-1)+1)/($B$3^2*F11*2)),3)</f>
        <v>0.158</v>
      </c>
      <c r="F11" s="76">
        <v>100</v>
      </c>
    </row>
    <row r="12" spans="1:6" ht="15.75" x14ac:dyDescent="0.25">
      <c r="A12" s="82">
        <f t="shared" ref="A12:A75" si="0">ROUND(1.96*SQRT(1/((2*B12)*(2-1))),3)</f>
        <v>0.13900000000000001</v>
      </c>
      <c r="B12" s="76">
        <v>99</v>
      </c>
      <c r="C12" s="76">
        <f t="shared" ref="C12:C75" si="1">ROUND(1.96*SQRT((D12*(POWER(1+2*($B$3^2-1),2))+(2-1)*(D12-1))/(2*$B$3^4*2^2*(D12-1)*D12)),3)</f>
        <v>0.10299999999999999</v>
      </c>
      <c r="D12" s="76">
        <v>99</v>
      </c>
      <c r="E12" s="76">
        <f t="shared" ref="E12:E75" si="2">ROUND(1.96*SQRT((2*($B$3^2-1)+1)/($B$3^2*F12*2)),3)</f>
        <v>0.159</v>
      </c>
      <c r="F12" s="76">
        <v>99</v>
      </c>
    </row>
    <row r="13" spans="1:6" ht="15.75" x14ac:dyDescent="0.25">
      <c r="A13" s="82">
        <f t="shared" si="0"/>
        <v>0.14000000000000001</v>
      </c>
      <c r="B13" s="76">
        <v>98</v>
      </c>
      <c r="C13" s="76">
        <f t="shared" si="1"/>
        <v>0.104</v>
      </c>
      <c r="D13" s="76">
        <v>98</v>
      </c>
      <c r="E13" s="76">
        <f t="shared" si="2"/>
        <v>0.16</v>
      </c>
      <c r="F13" s="76">
        <v>98</v>
      </c>
    </row>
    <row r="14" spans="1:6" ht="15.75" x14ac:dyDescent="0.25">
      <c r="A14" s="82">
        <f t="shared" si="0"/>
        <v>0.14099999999999999</v>
      </c>
      <c r="B14" s="76">
        <v>97</v>
      </c>
      <c r="C14" s="76">
        <f t="shared" si="1"/>
        <v>0.104</v>
      </c>
      <c r="D14" s="76">
        <v>97</v>
      </c>
      <c r="E14" s="76">
        <f t="shared" si="2"/>
        <v>0.161</v>
      </c>
      <c r="F14" s="76">
        <v>97</v>
      </c>
    </row>
    <row r="15" spans="1:6" ht="15.75" x14ac:dyDescent="0.25">
      <c r="A15" s="82">
        <f t="shared" si="0"/>
        <v>0.14099999999999999</v>
      </c>
      <c r="B15" s="76">
        <v>96</v>
      </c>
      <c r="C15" s="76">
        <f t="shared" si="1"/>
        <v>0.105</v>
      </c>
      <c r="D15" s="76">
        <v>96</v>
      </c>
      <c r="E15" s="76">
        <f t="shared" si="2"/>
        <v>0.16200000000000001</v>
      </c>
      <c r="F15" s="76">
        <v>96</v>
      </c>
    </row>
    <row r="16" spans="1:6" ht="15.75" x14ac:dyDescent="0.25">
      <c r="A16" s="82">
        <f t="shared" si="0"/>
        <v>0.14199999999999999</v>
      </c>
      <c r="B16" s="76">
        <v>95</v>
      </c>
      <c r="C16" s="76">
        <f t="shared" si="1"/>
        <v>0.106</v>
      </c>
      <c r="D16" s="76">
        <v>95</v>
      </c>
      <c r="E16" s="76">
        <f t="shared" si="2"/>
        <v>0.16200000000000001</v>
      </c>
      <c r="F16" s="76">
        <v>95</v>
      </c>
    </row>
    <row r="17" spans="1:6" ht="15.75" x14ac:dyDescent="0.25">
      <c r="A17" s="82">
        <f t="shared" si="0"/>
        <v>0.14299999999999999</v>
      </c>
      <c r="B17" s="76">
        <v>94</v>
      </c>
      <c r="C17" s="76">
        <f t="shared" si="1"/>
        <v>0.106</v>
      </c>
      <c r="D17" s="76">
        <v>94</v>
      </c>
      <c r="E17" s="76">
        <f t="shared" si="2"/>
        <v>0.16300000000000001</v>
      </c>
      <c r="F17" s="76">
        <v>94</v>
      </c>
    </row>
    <row r="18" spans="1:6" ht="15.75" x14ac:dyDescent="0.25">
      <c r="A18" s="82">
        <f t="shared" si="0"/>
        <v>0.14399999999999999</v>
      </c>
      <c r="B18" s="76">
        <v>93</v>
      </c>
      <c r="C18" s="76">
        <f t="shared" si="1"/>
        <v>0.107</v>
      </c>
      <c r="D18" s="76">
        <v>93</v>
      </c>
      <c r="E18" s="76">
        <f t="shared" si="2"/>
        <v>0.16400000000000001</v>
      </c>
      <c r="F18" s="76">
        <v>93</v>
      </c>
    </row>
    <row r="19" spans="1:6" ht="15.75" x14ac:dyDescent="0.25">
      <c r="A19" s="82">
        <f t="shared" si="0"/>
        <v>0.14399999999999999</v>
      </c>
      <c r="B19" s="76">
        <v>92</v>
      </c>
      <c r="C19" s="76">
        <f t="shared" si="1"/>
        <v>0.107</v>
      </c>
      <c r="D19" s="76">
        <v>92</v>
      </c>
      <c r="E19" s="76">
        <f t="shared" si="2"/>
        <v>0.16500000000000001</v>
      </c>
      <c r="F19" s="76">
        <v>92</v>
      </c>
    </row>
    <row r="20" spans="1:6" ht="15.75" x14ac:dyDescent="0.25">
      <c r="A20" s="82">
        <f t="shared" si="0"/>
        <v>0.14499999999999999</v>
      </c>
      <c r="B20" s="76">
        <v>91</v>
      </c>
      <c r="C20" s="76">
        <f t="shared" si="1"/>
        <v>0.108</v>
      </c>
      <c r="D20" s="76">
        <v>91</v>
      </c>
      <c r="E20" s="76">
        <f t="shared" si="2"/>
        <v>0.16600000000000001</v>
      </c>
      <c r="F20" s="76">
        <v>91</v>
      </c>
    </row>
    <row r="21" spans="1:6" ht="15.75" x14ac:dyDescent="0.25">
      <c r="A21" s="82">
        <f t="shared" si="0"/>
        <v>0.14599999999999999</v>
      </c>
      <c r="B21" s="76">
        <v>90</v>
      </c>
      <c r="C21" s="76">
        <f t="shared" si="1"/>
        <v>0.108</v>
      </c>
      <c r="D21" s="76">
        <v>90</v>
      </c>
      <c r="E21" s="76">
        <f t="shared" si="2"/>
        <v>0.16700000000000001</v>
      </c>
      <c r="F21" s="76">
        <v>90</v>
      </c>
    </row>
    <row r="22" spans="1:6" ht="15.75" x14ac:dyDescent="0.25">
      <c r="A22" s="82">
        <f t="shared" si="0"/>
        <v>0.14699999999999999</v>
      </c>
      <c r="B22" s="76">
        <v>89</v>
      </c>
      <c r="C22" s="76">
        <f t="shared" si="1"/>
        <v>0.109</v>
      </c>
      <c r="D22" s="76">
        <v>89</v>
      </c>
      <c r="E22" s="76">
        <f t="shared" si="2"/>
        <v>0.16800000000000001</v>
      </c>
      <c r="F22" s="76">
        <v>89</v>
      </c>
    </row>
    <row r="23" spans="1:6" ht="15.75" x14ac:dyDescent="0.25">
      <c r="A23" s="82">
        <f t="shared" si="0"/>
        <v>0.14799999999999999</v>
      </c>
      <c r="B23" s="76">
        <v>88</v>
      </c>
      <c r="C23" s="76">
        <f t="shared" si="1"/>
        <v>0.11</v>
      </c>
      <c r="D23" s="76">
        <v>88</v>
      </c>
      <c r="E23" s="76">
        <f t="shared" si="2"/>
        <v>0.16900000000000001</v>
      </c>
      <c r="F23" s="76">
        <v>88</v>
      </c>
    </row>
    <row r="24" spans="1:6" ht="15.75" x14ac:dyDescent="0.25">
      <c r="A24" s="82">
        <f t="shared" si="0"/>
        <v>0.14899999999999999</v>
      </c>
      <c r="B24" s="76">
        <v>87</v>
      </c>
      <c r="C24" s="76">
        <f t="shared" si="1"/>
        <v>0.11</v>
      </c>
      <c r="D24" s="76">
        <v>87</v>
      </c>
      <c r="E24" s="76">
        <f t="shared" si="2"/>
        <v>0.17</v>
      </c>
      <c r="F24" s="76">
        <v>87</v>
      </c>
    </row>
    <row r="25" spans="1:6" ht="15.75" x14ac:dyDescent="0.25">
      <c r="A25" s="82">
        <f t="shared" si="0"/>
        <v>0.14899999999999999</v>
      </c>
      <c r="B25" s="76">
        <v>86</v>
      </c>
      <c r="C25" s="76">
        <f t="shared" si="1"/>
        <v>0.111</v>
      </c>
      <c r="D25" s="76">
        <v>86</v>
      </c>
      <c r="E25" s="76">
        <f t="shared" si="2"/>
        <v>0.17100000000000001</v>
      </c>
      <c r="F25" s="76">
        <v>86</v>
      </c>
    </row>
    <row r="26" spans="1:6" ht="15.75" x14ac:dyDescent="0.25">
      <c r="A26" s="82">
        <f t="shared" si="0"/>
        <v>0.15</v>
      </c>
      <c r="B26" s="76">
        <v>85</v>
      </c>
      <c r="C26" s="76">
        <f t="shared" si="1"/>
        <v>0.112</v>
      </c>
      <c r="D26" s="76">
        <v>85</v>
      </c>
      <c r="E26" s="76">
        <f t="shared" si="2"/>
        <v>0.17199999999999999</v>
      </c>
      <c r="F26" s="76">
        <v>85</v>
      </c>
    </row>
    <row r="27" spans="1:6" ht="15.75" x14ac:dyDescent="0.25">
      <c r="A27" s="82">
        <f t="shared" si="0"/>
        <v>0.151</v>
      </c>
      <c r="B27" s="76">
        <v>84</v>
      </c>
      <c r="C27" s="76">
        <f t="shared" si="1"/>
        <v>0.112</v>
      </c>
      <c r="D27" s="76">
        <v>84</v>
      </c>
      <c r="E27" s="76">
        <f t="shared" si="2"/>
        <v>0.17299999999999999</v>
      </c>
      <c r="F27" s="76">
        <v>84</v>
      </c>
    </row>
    <row r="28" spans="1:6" ht="15.75" x14ac:dyDescent="0.25">
      <c r="A28" s="82">
        <f t="shared" si="0"/>
        <v>0.152</v>
      </c>
      <c r="B28" s="76">
        <v>83</v>
      </c>
      <c r="C28" s="76">
        <f t="shared" si="1"/>
        <v>0.113</v>
      </c>
      <c r="D28" s="76">
        <v>83</v>
      </c>
      <c r="E28" s="76">
        <f t="shared" si="2"/>
        <v>0.17399999999999999</v>
      </c>
      <c r="F28" s="76">
        <v>83</v>
      </c>
    </row>
    <row r="29" spans="1:6" ht="15.75" x14ac:dyDescent="0.25">
      <c r="A29" s="82">
        <f t="shared" si="0"/>
        <v>0.153</v>
      </c>
      <c r="B29" s="76">
        <v>82</v>
      </c>
      <c r="C29" s="76">
        <f t="shared" si="1"/>
        <v>0.114</v>
      </c>
      <c r="D29" s="76">
        <v>82</v>
      </c>
      <c r="E29" s="76">
        <f t="shared" si="2"/>
        <v>0.17499999999999999</v>
      </c>
      <c r="F29" s="76">
        <v>82</v>
      </c>
    </row>
    <row r="30" spans="1:6" ht="15.75" x14ac:dyDescent="0.25">
      <c r="A30" s="82">
        <f t="shared" si="0"/>
        <v>0.154</v>
      </c>
      <c r="B30" s="76">
        <v>81</v>
      </c>
      <c r="C30" s="76">
        <f t="shared" si="1"/>
        <v>0.114</v>
      </c>
      <c r="D30" s="76">
        <v>81</v>
      </c>
      <c r="E30" s="76">
        <f t="shared" si="2"/>
        <v>0.17599999999999999</v>
      </c>
      <c r="F30" s="76">
        <v>81</v>
      </c>
    </row>
    <row r="31" spans="1:6" ht="15.75" x14ac:dyDescent="0.25">
      <c r="A31" s="82">
        <f t="shared" si="0"/>
        <v>0.155</v>
      </c>
      <c r="B31" s="76">
        <v>80</v>
      </c>
      <c r="C31" s="76">
        <f t="shared" si="1"/>
        <v>0.115</v>
      </c>
      <c r="D31" s="76">
        <v>80</v>
      </c>
      <c r="E31" s="76">
        <f t="shared" si="2"/>
        <v>0.17699999999999999</v>
      </c>
      <c r="F31" s="76">
        <v>80</v>
      </c>
    </row>
    <row r="32" spans="1:6" ht="15.75" x14ac:dyDescent="0.25">
      <c r="A32" s="82">
        <f t="shared" si="0"/>
        <v>0.156</v>
      </c>
      <c r="B32" s="76">
        <v>79</v>
      </c>
      <c r="C32" s="76">
        <f t="shared" si="1"/>
        <v>0.11600000000000001</v>
      </c>
      <c r="D32" s="76">
        <v>79</v>
      </c>
      <c r="E32" s="76">
        <f t="shared" si="2"/>
        <v>0.17799999999999999</v>
      </c>
      <c r="F32" s="76">
        <v>79</v>
      </c>
    </row>
    <row r="33" spans="1:6" ht="15.75" x14ac:dyDescent="0.25">
      <c r="A33" s="82">
        <f t="shared" si="0"/>
        <v>0.157</v>
      </c>
      <c r="B33" s="76">
        <v>78</v>
      </c>
      <c r="C33" s="76">
        <f t="shared" si="1"/>
        <v>0.11700000000000001</v>
      </c>
      <c r="D33" s="76">
        <v>78</v>
      </c>
      <c r="E33" s="76">
        <f t="shared" si="2"/>
        <v>0.17899999999999999</v>
      </c>
      <c r="F33" s="76">
        <v>78</v>
      </c>
    </row>
    <row r="34" spans="1:6" ht="15.75" x14ac:dyDescent="0.25">
      <c r="A34" s="82">
        <f t="shared" si="0"/>
        <v>0.158</v>
      </c>
      <c r="B34" s="76">
        <v>77</v>
      </c>
      <c r="C34" s="76">
        <f t="shared" si="1"/>
        <v>0.11700000000000001</v>
      </c>
      <c r="D34" s="76">
        <v>77</v>
      </c>
      <c r="E34" s="76">
        <f t="shared" si="2"/>
        <v>0.18</v>
      </c>
      <c r="F34" s="76">
        <v>77</v>
      </c>
    </row>
    <row r="35" spans="1:6" ht="15.75" x14ac:dyDescent="0.25">
      <c r="A35" s="82">
        <f t="shared" si="0"/>
        <v>0.159</v>
      </c>
      <c r="B35" s="76">
        <v>76</v>
      </c>
      <c r="C35" s="76">
        <f t="shared" si="1"/>
        <v>0.11799999999999999</v>
      </c>
      <c r="D35" s="76">
        <v>76</v>
      </c>
      <c r="E35" s="76">
        <f t="shared" si="2"/>
        <v>0.182</v>
      </c>
      <c r="F35" s="76">
        <v>76</v>
      </c>
    </row>
    <row r="36" spans="1:6" ht="15.75" x14ac:dyDescent="0.25">
      <c r="A36" s="82">
        <f t="shared" si="0"/>
        <v>0.16</v>
      </c>
      <c r="B36" s="76">
        <v>75</v>
      </c>
      <c r="C36" s="76">
        <f t="shared" si="1"/>
        <v>0.11899999999999999</v>
      </c>
      <c r="D36" s="76">
        <v>75</v>
      </c>
      <c r="E36" s="76">
        <f t="shared" si="2"/>
        <v>0.183</v>
      </c>
      <c r="F36" s="76">
        <v>75</v>
      </c>
    </row>
    <row r="37" spans="1:6" ht="15.75" x14ac:dyDescent="0.25">
      <c r="A37" s="82">
        <f t="shared" si="0"/>
        <v>0.161</v>
      </c>
      <c r="B37" s="76">
        <v>74</v>
      </c>
      <c r="C37" s="76">
        <f t="shared" si="1"/>
        <v>0.12</v>
      </c>
      <c r="D37" s="76">
        <v>74</v>
      </c>
      <c r="E37" s="76">
        <f t="shared" si="2"/>
        <v>0.184</v>
      </c>
      <c r="F37" s="76">
        <v>74</v>
      </c>
    </row>
    <row r="38" spans="1:6" ht="15.75" x14ac:dyDescent="0.25">
      <c r="A38" s="82">
        <f t="shared" si="0"/>
        <v>0.16200000000000001</v>
      </c>
      <c r="B38" s="76">
        <v>73</v>
      </c>
      <c r="C38" s="76">
        <f t="shared" si="1"/>
        <v>0.121</v>
      </c>
      <c r="D38" s="76">
        <v>73</v>
      </c>
      <c r="E38" s="76">
        <f t="shared" si="2"/>
        <v>0.185</v>
      </c>
      <c r="F38" s="76">
        <v>73</v>
      </c>
    </row>
    <row r="39" spans="1:6" ht="15.75" x14ac:dyDescent="0.25">
      <c r="A39" s="82">
        <f t="shared" si="0"/>
        <v>0.16300000000000001</v>
      </c>
      <c r="B39" s="76">
        <v>72</v>
      </c>
      <c r="C39" s="76">
        <f t="shared" si="1"/>
        <v>0.121</v>
      </c>
      <c r="D39" s="76">
        <v>72</v>
      </c>
      <c r="E39" s="76">
        <f t="shared" si="2"/>
        <v>0.187</v>
      </c>
      <c r="F39" s="76">
        <v>72</v>
      </c>
    </row>
    <row r="40" spans="1:6" ht="15.75" x14ac:dyDescent="0.25">
      <c r="A40" s="82">
        <f t="shared" si="0"/>
        <v>0.16400000000000001</v>
      </c>
      <c r="B40" s="76">
        <v>71</v>
      </c>
      <c r="C40" s="76">
        <f t="shared" si="1"/>
        <v>0.122</v>
      </c>
      <c r="D40" s="76">
        <v>71</v>
      </c>
      <c r="E40" s="76">
        <f t="shared" si="2"/>
        <v>0.188</v>
      </c>
      <c r="F40" s="76">
        <v>71</v>
      </c>
    </row>
    <row r="41" spans="1:6" ht="15.75" x14ac:dyDescent="0.25">
      <c r="A41" s="82">
        <f t="shared" si="0"/>
        <v>0.16600000000000001</v>
      </c>
      <c r="B41" s="76">
        <v>70</v>
      </c>
      <c r="C41" s="76">
        <f t="shared" si="1"/>
        <v>0.123</v>
      </c>
      <c r="D41" s="76">
        <v>70</v>
      </c>
      <c r="E41" s="76">
        <f t="shared" si="2"/>
        <v>0.189</v>
      </c>
      <c r="F41" s="76">
        <v>70</v>
      </c>
    </row>
    <row r="42" spans="1:6" ht="15.75" x14ac:dyDescent="0.25">
      <c r="A42" s="82">
        <f t="shared" si="0"/>
        <v>0.16700000000000001</v>
      </c>
      <c r="B42" s="76">
        <v>69</v>
      </c>
      <c r="C42" s="76">
        <f t="shared" si="1"/>
        <v>0.124</v>
      </c>
      <c r="D42" s="76">
        <v>69</v>
      </c>
      <c r="E42" s="76">
        <f t="shared" si="2"/>
        <v>0.191</v>
      </c>
      <c r="F42" s="76">
        <v>69</v>
      </c>
    </row>
    <row r="43" spans="1:6" ht="15.75" x14ac:dyDescent="0.25">
      <c r="A43" s="82">
        <f t="shared" si="0"/>
        <v>0.16800000000000001</v>
      </c>
      <c r="B43" s="76">
        <v>68</v>
      </c>
      <c r="C43" s="76">
        <f t="shared" si="1"/>
        <v>0.125</v>
      </c>
      <c r="D43" s="76">
        <v>68</v>
      </c>
      <c r="E43" s="76">
        <f t="shared" si="2"/>
        <v>0.192</v>
      </c>
      <c r="F43" s="76">
        <v>68</v>
      </c>
    </row>
    <row r="44" spans="1:6" ht="15.75" x14ac:dyDescent="0.25">
      <c r="A44" s="82">
        <f t="shared" si="0"/>
        <v>0.16900000000000001</v>
      </c>
      <c r="B44" s="76">
        <v>67</v>
      </c>
      <c r="C44" s="76">
        <f t="shared" si="1"/>
        <v>0.126</v>
      </c>
      <c r="D44" s="76">
        <v>67</v>
      </c>
      <c r="E44" s="76">
        <f t="shared" si="2"/>
        <v>0.193</v>
      </c>
      <c r="F44" s="76">
        <v>67</v>
      </c>
    </row>
    <row r="45" spans="1:6" ht="15.75" x14ac:dyDescent="0.25">
      <c r="A45" s="82">
        <f t="shared" si="0"/>
        <v>0.17100000000000001</v>
      </c>
      <c r="B45" s="76">
        <v>66</v>
      </c>
      <c r="C45" s="76">
        <f t="shared" si="1"/>
        <v>0.127</v>
      </c>
      <c r="D45" s="76">
        <v>66</v>
      </c>
      <c r="E45" s="76">
        <f t="shared" si="2"/>
        <v>0.19500000000000001</v>
      </c>
      <c r="F45" s="76">
        <v>66</v>
      </c>
    </row>
    <row r="46" spans="1:6" ht="15.75" x14ac:dyDescent="0.25">
      <c r="A46" s="82">
        <f t="shared" si="0"/>
        <v>0.17199999999999999</v>
      </c>
      <c r="B46" s="76">
        <v>65</v>
      </c>
      <c r="C46" s="76">
        <f t="shared" si="1"/>
        <v>0.128</v>
      </c>
      <c r="D46" s="76">
        <v>65</v>
      </c>
      <c r="E46" s="76">
        <f t="shared" si="2"/>
        <v>0.19600000000000001</v>
      </c>
      <c r="F46" s="76">
        <v>65</v>
      </c>
    </row>
    <row r="47" spans="1:6" ht="15.75" x14ac:dyDescent="0.25">
      <c r="A47" s="82">
        <f t="shared" si="0"/>
        <v>0.17299999999999999</v>
      </c>
      <c r="B47" s="76">
        <v>64</v>
      </c>
      <c r="C47" s="76">
        <f t="shared" si="1"/>
        <v>0.129</v>
      </c>
      <c r="D47" s="76">
        <v>64</v>
      </c>
      <c r="E47" s="76">
        <f t="shared" si="2"/>
        <v>0.19800000000000001</v>
      </c>
      <c r="F47" s="76">
        <v>64</v>
      </c>
    </row>
    <row r="48" spans="1:6" ht="15.75" x14ac:dyDescent="0.25">
      <c r="A48" s="82">
        <f t="shared" si="0"/>
        <v>0.17499999999999999</v>
      </c>
      <c r="B48" s="76">
        <v>63</v>
      </c>
      <c r="C48" s="76">
        <f t="shared" si="1"/>
        <v>0.13</v>
      </c>
      <c r="D48" s="76">
        <v>63</v>
      </c>
      <c r="E48" s="76">
        <f t="shared" si="2"/>
        <v>0.2</v>
      </c>
      <c r="F48" s="76">
        <v>63</v>
      </c>
    </row>
    <row r="49" spans="1:6" ht="15.75" x14ac:dyDescent="0.25">
      <c r="A49" s="82">
        <f t="shared" si="0"/>
        <v>0.17599999999999999</v>
      </c>
      <c r="B49" s="76">
        <v>62</v>
      </c>
      <c r="C49" s="76">
        <f t="shared" si="1"/>
        <v>0.13100000000000001</v>
      </c>
      <c r="D49" s="76">
        <v>62</v>
      </c>
      <c r="E49" s="76">
        <f t="shared" si="2"/>
        <v>0.20100000000000001</v>
      </c>
      <c r="F49" s="76">
        <v>62</v>
      </c>
    </row>
    <row r="50" spans="1:6" ht="15.75" x14ac:dyDescent="0.25">
      <c r="A50" s="82">
        <f t="shared" si="0"/>
        <v>0.17699999999999999</v>
      </c>
      <c r="B50" s="76">
        <v>61</v>
      </c>
      <c r="C50" s="76">
        <f t="shared" si="1"/>
        <v>0.13200000000000001</v>
      </c>
      <c r="D50" s="76">
        <v>61</v>
      </c>
      <c r="E50" s="76">
        <f t="shared" si="2"/>
        <v>0.20300000000000001</v>
      </c>
      <c r="F50" s="76">
        <v>61</v>
      </c>
    </row>
    <row r="51" spans="1:6" ht="15.75" x14ac:dyDescent="0.25">
      <c r="A51" s="82">
        <f t="shared" si="0"/>
        <v>0.17899999999999999</v>
      </c>
      <c r="B51" s="76">
        <v>60</v>
      </c>
      <c r="C51" s="76">
        <f t="shared" si="1"/>
        <v>0.13300000000000001</v>
      </c>
      <c r="D51" s="76">
        <v>60</v>
      </c>
      <c r="E51" s="76">
        <f t="shared" si="2"/>
        <v>0.20399999999999999</v>
      </c>
      <c r="F51" s="76">
        <v>60</v>
      </c>
    </row>
    <row r="52" spans="1:6" ht="15.75" x14ac:dyDescent="0.25">
      <c r="A52" s="82">
        <f t="shared" si="0"/>
        <v>0.18</v>
      </c>
      <c r="B52" s="76">
        <v>59</v>
      </c>
      <c r="C52" s="76">
        <f t="shared" si="1"/>
        <v>0.13400000000000001</v>
      </c>
      <c r="D52" s="76">
        <v>59</v>
      </c>
      <c r="E52" s="76">
        <f t="shared" si="2"/>
        <v>0.20599999999999999</v>
      </c>
      <c r="F52" s="76">
        <v>59</v>
      </c>
    </row>
    <row r="53" spans="1:6" ht="15.75" x14ac:dyDescent="0.25">
      <c r="A53" s="82">
        <f t="shared" si="0"/>
        <v>0.182</v>
      </c>
      <c r="B53" s="76">
        <v>58</v>
      </c>
      <c r="C53" s="76">
        <f t="shared" si="1"/>
        <v>0.13500000000000001</v>
      </c>
      <c r="D53" s="76">
        <v>58</v>
      </c>
      <c r="E53" s="76">
        <f t="shared" si="2"/>
        <v>0.20799999999999999</v>
      </c>
      <c r="F53" s="76">
        <v>58</v>
      </c>
    </row>
    <row r="54" spans="1:6" ht="15.75" x14ac:dyDescent="0.25">
      <c r="A54" s="82">
        <f t="shared" si="0"/>
        <v>0.184</v>
      </c>
      <c r="B54" s="76">
        <v>57</v>
      </c>
      <c r="C54" s="76">
        <f t="shared" si="1"/>
        <v>0.13700000000000001</v>
      </c>
      <c r="D54" s="76">
        <v>57</v>
      </c>
      <c r="E54" s="76">
        <f t="shared" si="2"/>
        <v>0.21</v>
      </c>
      <c r="F54" s="76">
        <v>57</v>
      </c>
    </row>
    <row r="55" spans="1:6" ht="15.75" x14ac:dyDescent="0.25">
      <c r="A55" s="82">
        <f t="shared" si="0"/>
        <v>0.185</v>
      </c>
      <c r="B55" s="76">
        <v>56</v>
      </c>
      <c r="C55" s="76">
        <f t="shared" si="1"/>
        <v>0.13800000000000001</v>
      </c>
      <c r="D55" s="76">
        <v>56</v>
      </c>
      <c r="E55" s="76">
        <f t="shared" si="2"/>
        <v>0.21199999999999999</v>
      </c>
      <c r="F55" s="76">
        <v>56</v>
      </c>
    </row>
    <row r="56" spans="1:6" ht="15.75" x14ac:dyDescent="0.25">
      <c r="A56" s="82">
        <f t="shared" si="0"/>
        <v>0.187</v>
      </c>
      <c r="B56" s="76">
        <v>55</v>
      </c>
      <c r="C56" s="76">
        <f t="shared" si="1"/>
        <v>0.13900000000000001</v>
      </c>
      <c r="D56" s="76">
        <v>55</v>
      </c>
      <c r="E56" s="76">
        <f t="shared" si="2"/>
        <v>0.214</v>
      </c>
      <c r="F56" s="76">
        <v>55</v>
      </c>
    </row>
    <row r="57" spans="1:6" ht="15.75" x14ac:dyDescent="0.25">
      <c r="A57" s="82">
        <f t="shared" si="0"/>
        <v>0.189</v>
      </c>
      <c r="B57" s="76">
        <v>54</v>
      </c>
      <c r="C57" s="76">
        <f t="shared" si="1"/>
        <v>0.14000000000000001</v>
      </c>
      <c r="D57" s="76">
        <v>54</v>
      </c>
      <c r="E57" s="76">
        <f t="shared" si="2"/>
        <v>0.215</v>
      </c>
      <c r="F57" s="76">
        <v>54</v>
      </c>
    </row>
    <row r="58" spans="1:6" ht="15.75" x14ac:dyDescent="0.25">
      <c r="A58" s="82">
        <f t="shared" si="0"/>
        <v>0.19</v>
      </c>
      <c r="B58" s="76">
        <v>53</v>
      </c>
      <c r="C58" s="76">
        <f t="shared" si="1"/>
        <v>0.14199999999999999</v>
      </c>
      <c r="D58" s="76">
        <v>53</v>
      </c>
      <c r="E58" s="76">
        <f t="shared" si="2"/>
        <v>0.218</v>
      </c>
      <c r="F58" s="76">
        <v>53</v>
      </c>
    </row>
    <row r="59" spans="1:6" ht="15.75" x14ac:dyDescent="0.25">
      <c r="A59" s="82">
        <f t="shared" si="0"/>
        <v>0.192</v>
      </c>
      <c r="B59" s="76">
        <v>52</v>
      </c>
      <c r="C59" s="76">
        <f t="shared" si="1"/>
        <v>0.14299999999999999</v>
      </c>
      <c r="D59" s="76">
        <v>52</v>
      </c>
      <c r="E59" s="76">
        <f t="shared" si="2"/>
        <v>0.22</v>
      </c>
      <c r="F59" s="76">
        <v>52</v>
      </c>
    </row>
    <row r="60" spans="1:6" ht="15.75" x14ac:dyDescent="0.25">
      <c r="A60" s="82">
        <f t="shared" si="0"/>
        <v>0.19400000000000001</v>
      </c>
      <c r="B60" s="76">
        <v>51</v>
      </c>
      <c r="C60" s="76">
        <f t="shared" si="1"/>
        <v>0.14499999999999999</v>
      </c>
      <c r="D60" s="76">
        <v>51</v>
      </c>
      <c r="E60" s="76">
        <f t="shared" si="2"/>
        <v>0.222</v>
      </c>
      <c r="F60" s="76">
        <v>51</v>
      </c>
    </row>
    <row r="61" spans="1:6" ht="15.75" x14ac:dyDescent="0.25">
      <c r="A61" s="82">
        <f t="shared" si="0"/>
        <v>0.19600000000000001</v>
      </c>
      <c r="B61" s="76">
        <v>50</v>
      </c>
      <c r="C61" s="76">
        <f t="shared" si="1"/>
        <v>0.14599999999999999</v>
      </c>
      <c r="D61" s="76">
        <v>50</v>
      </c>
      <c r="E61" s="76">
        <f t="shared" si="2"/>
        <v>0.224</v>
      </c>
      <c r="F61" s="76">
        <v>50</v>
      </c>
    </row>
    <row r="62" spans="1:6" ht="15.75" x14ac:dyDescent="0.25">
      <c r="A62" s="82">
        <f t="shared" si="0"/>
        <v>0.19800000000000001</v>
      </c>
      <c r="B62" s="76">
        <v>49</v>
      </c>
      <c r="C62" s="76">
        <f t="shared" si="1"/>
        <v>0.14799999999999999</v>
      </c>
      <c r="D62" s="76">
        <v>49</v>
      </c>
      <c r="E62" s="76">
        <f t="shared" si="2"/>
        <v>0.22600000000000001</v>
      </c>
      <c r="F62" s="76">
        <v>49</v>
      </c>
    </row>
    <row r="63" spans="1:6" ht="15.75" x14ac:dyDescent="0.25">
      <c r="A63" s="82">
        <f t="shared" si="0"/>
        <v>0.2</v>
      </c>
      <c r="B63" s="76">
        <v>48</v>
      </c>
      <c r="C63" s="76">
        <f t="shared" si="1"/>
        <v>0.14899999999999999</v>
      </c>
      <c r="D63" s="76">
        <v>48</v>
      </c>
      <c r="E63" s="76">
        <f t="shared" si="2"/>
        <v>0.22900000000000001</v>
      </c>
      <c r="F63" s="76">
        <v>48</v>
      </c>
    </row>
    <row r="64" spans="1:6" ht="15.75" x14ac:dyDescent="0.25">
      <c r="A64" s="82">
        <f t="shared" si="0"/>
        <v>0.20200000000000001</v>
      </c>
      <c r="B64" s="76">
        <v>47</v>
      </c>
      <c r="C64" s="76">
        <f t="shared" si="1"/>
        <v>0.151</v>
      </c>
      <c r="D64" s="76">
        <v>47</v>
      </c>
      <c r="E64" s="76">
        <f t="shared" si="2"/>
        <v>0.23100000000000001</v>
      </c>
      <c r="F64" s="76">
        <v>47</v>
      </c>
    </row>
    <row r="65" spans="1:6" ht="15.75" x14ac:dyDescent="0.25">
      <c r="A65" s="82">
        <f t="shared" si="0"/>
        <v>0.20399999999999999</v>
      </c>
      <c r="B65" s="76">
        <v>46</v>
      </c>
      <c r="C65" s="76">
        <f t="shared" si="1"/>
        <v>0.152</v>
      </c>
      <c r="D65" s="76">
        <v>46</v>
      </c>
      <c r="E65" s="76">
        <f t="shared" si="2"/>
        <v>0.23300000000000001</v>
      </c>
      <c r="F65" s="76">
        <v>46</v>
      </c>
    </row>
    <row r="66" spans="1:6" ht="15.75" x14ac:dyDescent="0.25">
      <c r="A66" s="82">
        <f t="shared" si="0"/>
        <v>0.20699999999999999</v>
      </c>
      <c r="B66" s="76">
        <v>45</v>
      </c>
      <c r="C66" s="76">
        <f t="shared" si="1"/>
        <v>0.154</v>
      </c>
      <c r="D66" s="76">
        <v>45</v>
      </c>
      <c r="E66" s="76">
        <f t="shared" si="2"/>
        <v>0.23599999999999999</v>
      </c>
      <c r="F66" s="76">
        <v>45</v>
      </c>
    </row>
    <row r="67" spans="1:6" ht="15.75" x14ac:dyDescent="0.25">
      <c r="A67" s="82">
        <f t="shared" si="0"/>
        <v>0.20899999999999999</v>
      </c>
      <c r="B67" s="76">
        <v>44</v>
      </c>
      <c r="C67" s="76">
        <f t="shared" si="1"/>
        <v>0.156</v>
      </c>
      <c r="D67" s="76">
        <v>44</v>
      </c>
      <c r="E67" s="76">
        <f t="shared" si="2"/>
        <v>0.23899999999999999</v>
      </c>
      <c r="F67" s="76">
        <v>44</v>
      </c>
    </row>
    <row r="68" spans="1:6" ht="15.75" x14ac:dyDescent="0.25">
      <c r="A68" s="82">
        <f t="shared" si="0"/>
        <v>0.21099999999999999</v>
      </c>
      <c r="B68" s="76">
        <v>43</v>
      </c>
      <c r="C68" s="76">
        <f t="shared" si="1"/>
        <v>0.158</v>
      </c>
      <c r="D68" s="76">
        <v>43</v>
      </c>
      <c r="E68" s="76">
        <f t="shared" si="2"/>
        <v>0.24099999999999999</v>
      </c>
      <c r="F68" s="76">
        <v>43</v>
      </c>
    </row>
    <row r="69" spans="1:6" ht="15.75" x14ac:dyDescent="0.25">
      <c r="A69" s="82">
        <f t="shared" si="0"/>
        <v>0.214</v>
      </c>
      <c r="B69" s="76">
        <v>42</v>
      </c>
      <c r="C69" s="76">
        <f t="shared" si="1"/>
        <v>0.16</v>
      </c>
      <c r="D69" s="76">
        <v>42</v>
      </c>
      <c r="E69" s="76">
        <f t="shared" si="2"/>
        <v>0.24399999999999999</v>
      </c>
      <c r="F69" s="76">
        <v>42</v>
      </c>
    </row>
    <row r="70" spans="1:6" ht="15.75" x14ac:dyDescent="0.25">
      <c r="A70" s="82">
        <f t="shared" si="0"/>
        <v>0.216</v>
      </c>
      <c r="B70" s="76">
        <v>41</v>
      </c>
      <c r="C70" s="76">
        <f t="shared" si="1"/>
        <v>0.16200000000000001</v>
      </c>
      <c r="D70" s="76">
        <v>41</v>
      </c>
      <c r="E70" s="76">
        <f t="shared" si="2"/>
        <v>0.247</v>
      </c>
      <c r="F70" s="76">
        <v>41</v>
      </c>
    </row>
    <row r="71" spans="1:6" ht="15.75" x14ac:dyDescent="0.25">
      <c r="A71" s="82">
        <f t="shared" si="0"/>
        <v>0.219</v>
      </c>
      <c r="B71" s="76">
        <v>40</v>
      </c>
      <c r="C71" s="76">
        <f t="shared" si="1"/>
        <v>0.16400000000000001</v>
      </c>
      <c r="D71" s="76">
        <v>40</v>
      </c>
      <c r="E71" s="76">
        <f t="shared" si="2"/>
        <v>0.25</v>
      </c>
      <c r="F71" s="76">
        <v>40</v>
      </c>
    </row>
    <row r="72" spans="1:6" ht="15.75" x14ac:dyDescent="0.25">
      <c r="A72" s="82">
        <f t="shared" si="0"/>
        <v>0.222</v>
      </c>
      <c r="B72" s="76">
        <v>39</v>
      </c>
      <c r="C72" s="76">
        <f t="shared" si="1"/>
        <v>0.16600000000000001</v>
      </c>
      <c r="D72" s="76">
        <v>39</v>
      </c>
      <c r="E72" s="76">
        <f t="shared" si="2"/>
        <v>0.254</v>
      </c>
      <c r="F72" s="76">
        <v>39</v>
      </c>
    </row>
    <row r="73" spans="1:6" ht="15.75" x14ac:dyDescent="0.25">
      <c r="A73" s="82">
        <f t="shared" si="0"/>
        <v>0.22500000000000001</v>
      </c>
      <c r="B73" s="76">
        <v>38</v>
      </c>
      <c r="C73" s="76">
        <f t="shared" si="1"/>
        <v>0.16800000000000001</v>
      </c>
      <c r="D73" s="76">
        <v>38</v>
      </c>
      <c r="E73" s="76">
        <f t="shared" si="2"/>
        <v>0.25700000000000001</v>
      </c>
      <c r="F73" s="76">
        <v>38</v>
      </c>
    </row>
    <row r="74" spans="1:6" ht="15.75" x14ac:dyDescent="0.25">
      <c r="A74" s="82">
        <f t="shared" si="0"/>
        <v>0.22800000000000001</v>
      </c>
      <c r="B74" s="76">
        <v>37</v>
      </c>
      <c r="C74" s="76">
        <f t="shared" si="1"/>
        <v>0.17</v>
      </c>
      <c r="D74" s="76">
        <v>37</v>
      </c>
      <c r="E74" s="76">
        <f t="shared" si="2"/>
        <v>0.26</v>
      </c>
      <c r="F74" s="76">
        <v>37</v>
      </c>
    </row>
    <row r="75" spans="1:6" ht="15.75" x14ac:dyDescent="0.25">
      <c r="A75" s="82">
        <f t="shared" si="0"/>
        <v>0.23100000000000001</v>
      </c>
      <c r="B75" s="76">
        <v>36</v>
      </c>
      <c r="C75" s="76">
        <f t="shared" si="1"/>
        <v>0.17299999999999999</v>
      </c>
      <c r="D75" s="76">
        <v>36</v>
      </c>
      <c r="E75" s="76">
        <f t="shared" si="2"/>
        <v>0.26400000000000001</v>
      </c>
      <c r="F75" s="76">
        <v>36</v>
      </c>
    </row>
    <row r="76" spans="1:6" ht="15.75" x14ac:dyDescent="0.25">
      <c r="A76" s="82">
        <f t="shared" ref="A76:A109" si="3">ROUND(1.96*SQRT(1/((2*B76)*(2-1))),3)</f>
        <v>0.23400000000000001</v>
      </c>
      <c r="B76" s="76">
        <v>35</v>
      </c>
      <c r="C76" s="76">
        <f t="shared" ref="C76:C109" si="4">ROUND(1.96*SQRT((D76*(POWER(1+2*($B$3^2-1),2))+(2-1)*(D76-1))/(2*$B$3^4*2^2*(D76-1)*D76)),3)</f>
        <v>0.17499999999999999</v>
      </c>
      <c r="D76" s="76">
        <v>35</v>
      </c>
      <c r="E76" s="76">
        <f t="shared" ref="E76:E109" si="5">ROUND(1.96*SQRT((2*($B$3^2-1)+1)/($B$3^2*F76*2)),3)</f>
        <v>0.26800000000000002</v>
      </c>
      <c r="F76" s="76">
        <v>35</v>
      </c>
    </row>
    <row r="77" spans="1:6" ht="15.75" x14ac:dyDescent="0.25">
      <c r="A77" s="82">
        <f t="shared" si="3"/>
        <v>0.23799999999999999</v>
      </c>
      <c r="B77" s="76">
        <v>34</v>
      </c>
      <c r="C77" s="76">
        <f t="shared" si="4"/>
        <v>0.17799999999999999</v>
      </c>
      <c r="D77" s="76">
        <v>34</v>
      </c>
      <c r="E77" s="76">
        <f t="shared" si="5"/>
        <v>0.27200000000000002</v>
      </c>
      <c r="F77" s="76">
        <v>34</v>
      </c>
    </row>
    <row r="78" spans="1:6" ht="15.75" x14ac:dyDescent="0.25">
      <c r="A78" s="82">
        <f t="shared" si="3"/>
        <v>0.24099999999999999</v>
      </c>
      <c r="B78" s="76">
        <v>33</v>
      </c>
      <c r="C78" s="76">
        <f t="shared" si="4"/>
        <v>0.18099999999999999</v>
      </c>
      <c r="D78" s="76">
        <v>33</v>
      </c>
      <c r="E78" s="76">
        <f t="shared" si="5"/>
        <v>0.27600000000000002</v>
      </c>
      <c r="F78" s="76">
        <v>33</v>
      </c>
    </row>
    <row r="79" spans="1:6" ht="15.75" x14ac:dyDescent="0.25">
      <c r="A79" s="82">
        <f t="shared" si="3"/>
        <v>0.245</v>
      </c>
      <c r="B79" s="76">
        <v>32</v>
      </c>
      <c r="C79" s="76">
        <f t="shared" si="4"/>
        <v>0.183</v>
      </c>
      <c r="D79" s="76">
        <v>32</v>
      </c>
      <c r="E79" s="76">
        <f t="shared" si="5"/>
        <v>0.28000000000000003</v>
      </c>
      <c r="F79" s="76">
        <v>32</v>
      </c>
    </row>
    <row r="80" spans="1:6" ht="15.75" x14ac:dyDescent="0.25">
      <c r="A80" s="82">
        <f t="shared" si="3"/>
        <v>0.249</v>
      </c>
      <c r="B80" s="76">
        <v>31</v>
      </c>
      <c r="C80" s="76">
        <f t="shared" si="4"/>
        <v>0.186</v>
      </c>
      <c r="D80" s="76">
        <v>31</v>
      </c>
      <c r="E80" s="76">
        <f t="shared" si="5"/>
        <v>0.28399999999999997</v>
      </c>
      <c r="F80" s="76">
        <v>31</v>
      </c>
    </row>
    <row r="81" spans="1:6" ht="15.75" x14ac:dyDescent="0.25">
      <c r="A81" s="82">
        <f t="shared" si="3"/>
        <v>0.253</v>
      </c>
      <c r="B81" s="76">
        <v>30</v>
      </c>
      <c r="C81" s="76">
        <f t="shared" si="4"/>
        <v>0.19</v>
      </c>
      <c r="D81" s="76">
        <v>30</v>
      </c>
      <c r="E81" s="76">
        <f t="shared" si="5"/>
        <v>0.28899999999999998</v>
      </c>
      <c r="F81" s="76">
        <v>30</v>
      </c>
    </row>
    <row r="82" spans="1:6" ht="15.75" x14ac:dyDescent="0.25">
      <c r="A82" s="82">
        <f t="shared" si="3"/>
        <v>0.25700000000000001</v>
      </c>
      <c r="B82" s="76">
        <v>29</v>
      </c>
      <c r="C82" s="76">
        <f t="shared" si="4"/>
        <v>0.193</v>
      </c>
      <c r="D82" s="76">
        <v>29</v>
      </c>
      <c r="E82" s="76">
        <f t="shared" si="5"/>
        <v>0.29399999999999998</v>
      </c>
      <c r="F82" s="76">
        <v>29</v>
      </c>
    </row>
    <row r="83" spans="1:6" ht="15.75" x14ac:dyDescent="0.25">
      <c r="A83" s="82">
        <f t="shared" si="3"/>
        <v>0.26200000000000001</v>
      </c>
      <c r="B83" s="76">
        <v>28</v>
      </c>
      <c r="C83" s="76">
        <f t="shared" si="4"/>
        <v>0.19600000000000001</v>
      </c>
      <c r="D83" s="76">
        <v>28</v>
      </c>
      <c r="E83" s="76">
        <f t="shared" si="5"/>
        <v>0.29899999999999999</v>
      </c>
      <c r="F83" s="76">
        <v>28</v>
      </c>
    </row>
    <row r="84" spans="1:6" ht="15.75" x14ac:dyDescent="0.25">
      <c r="A84" s="82">
        <f t="shared" si="3"/>
        <v>0.26700000000000002</v>
      </c>
      <c r="B84" s="76">
        <v>27</v>
      </c>
      <c r="C84" s="76">
        <f t="shared" si="4"/>
        <v>0.2</v>
      </c>
      <c r="D84" s="76">
        <v>27</v>
      </c>
      <c r="E84" s="76">
        <f t="shared" si="5"/>
        <v>0.30499999999999999</v>
      </c>
      <c r="F84" s="76">
        <v>27</v>
      </c>
    </row>
    <row r="85" spans="1:6" ht="15.75" x14ac:dyDescent="0.25">
      <c r="A85" s="82">
        <f t="shared" si="3"/>
        <v>0.27200000000000002</v>
      </c>
      <c r="B85" s="76">
        <v>26</v>
      </c>
      <c r="C85" s="76">
        <f t="shared" si="4"/>
        <v>0.20399999999999999</v>
      </c>
      <c r="D85" s="76">
        <v>26</v>
      </c>
      <c r="E85" s="76">
        <f t="shared" si="5"/>
        <v>0.311</v>
      </c>
      <c r="F85" s="76">
        <v>26</v>
      </c>
    </row>
    <row r="86" spans="1:6" ht="15.75" x14ac:dyDescent="0.25">
      <c r="A86" s="82">
        <f t="shared" si="3"/>
        <v>0.27700000000000002</v>
      </c>
      <c r="B86" s="76">
        <v>25</v>
      </c>
      <c r="C86" s="76">
        <f t="shared" si="4"/>
        <v>0.20799999999999999</v>
      </c>
      <c r="D86" s="76">
        <v>25</v>
      </c>
      <c r="E86" s="76">
        <f t="shared" si="5"/>
        <v>0.317</v>
      </c>
      <c r="F86" s="76">
        <v>25</v>
      </c>
    </row>
    <row r="87" spans="1:6" ht="15.75" x14ac:dyDescent="0.25">
      <c r="A87" s="82">
        <f t="shared" si="3"/>
        <v>0.28299999999999997</v>
      </c>
      <c r="B87" s="76">
        <v>24</v>
      </c>
      <c r="C87" s="76">
        <f t="shared" si="4"/>
        <v>0.21299999999999999</v>
      </c>
      <c r="D87" s="76">
        <v>24</v>
      </c>
      <c r="E87" s="76">
        <f t="shared" si="5"/>
        <v>0.32300000000000001</v>
      </c>
      <c r="F87" s="76">
        <v>24</v>
      </c>
    </row>
    <row r="88" spans="1:6" ht="15.75" x14ac:dyDescent="0.25">
      <c r="A88" s="82">
        <f t="shared" si="3"/>
        <v>0.28899999999999998</v>
      </c>
      <c r="B88" s="76">
        <v>23</v>
      </c>
      <c r="C88" s="76">
        <f t="shared" si="4"/>
        <v>0.217</v>
      </c>
      <c r="D88" s="76">
        <v>23</v>
      </c>
      <c r="E88" s="76">
        <f t="shared" si="5"/>
        <v>0.33</v>
      </c>
      <c r="F88" s="76">
        <v>23</v>
      </c>
    </row>
    <row r="89" spans="1:6" ht="15.75" x14ac:dyDescent="0.25">
      <c r="A89" s="82">
        <f t="shared" si="3"/>
        <v>0.29499999999999998</v>
      </c>
      <c r="B89" s="76">
        <v>22</v>
      </c>
      <c r="C89" s="76">
        <f t="shared" si="4"/>
        <v>0.222</v>
      </c>
      <c r="D89" s="76">
        <v>22</v>
      </c>
      <c r="E89" s="76">
        <f t="shared" si="5"/>
        <v>0.33800000000000002</v>
      </c>
      <c r="F89" s="76">
        <v>22</v>
      </c>
    </row>
    <row r="90" spans="1:6" ht="15.75" x14ac:dyDescent="0.25">
      <c r="A90" s="82">
        <f t="shared" si="3"/>
        <v>0.30199999999999999</v>
      </c>
      <c r="B90" s="76">
        <v>21</v>
      </c>
      <c r="C90" s="76">
        <f t="shared" si="4"/>
        <v>0.22800000000000001</v>
      </c>
      <c r="D90" s="76">
        <v>21</v>
      </c>
      <c r="E90" s="76">
        <f t="shared" si="5"/>
        <v>0.34599999999999997</v>
      </c>
      <c r="F90" s="76">
        <v>21</v>
      </c>
    </row>
    <row r="91" spans="1:6" ht="15.75" x14ac:dyDescent="0.25">
      <c r="A91" s="82">
        <f t="shared" si="3"/>
        <v>0.31</v>
      </c>
      <c r="B91" s="76">
        <v>20</v>
      </c>
      <c r="C91" s="76">
        <f t="shared" si="4"/>
        <v>0.23400000000000001</v>
      </c>
      <c r="D91" s="76">
        <v>20</v>
      </c>
      <c r="E91" s="76">
        <f t="shared" si="5"/>
        <v>0.35399999999999998</v>
      </c>
      <c r="F91" s="76">
        <v>20</v>
      </c>
    </row>
    <row r="92" spans="1:6" ht="15.75" x14ac:dyDescent="0.25">
      <c r="A92" s="82">
        <f t="shared" si="3"/>
        <v>0.318</v>
      </c>
      <c r="B92" s="76">
        <v>19</v>
      </c>
      <c r="C92" s="76">
        <f t="shared" si="4"/>
        <v>0.24</v>
      </c>
      <c r="D92" s="76">
        <v>19</v>
      </c>
      <c r="E92" s="76">
        <f t="shared" si="5"/>
        <v>0.36299999999999999</v>
      </c>
      <c r="F92" s="76">
        <v>19</v>
      </c>
    </row>
    <row r="93" spans="1:6" ht="15.75" x14ac:dyDescent="0.25">
      <c r="A93" s="82">
        <f t="shared" si="3"/>
        <v>0.32700000000000001</v>
      </c>
      <c r="B93" s="76">
        <v>18</v>
      </c>
      <c r="C93" s="76">
        <f t="shared" si="4"/>
        <v>0.247</v>
      </c>
      <c r="D93" s="76">
        <v>18</v>
      </c>
      <c r="E93" s="76">
        <f t="shared" si="5"/>
        <v>0.373</v>
      </c>
      <c r="F93" s="76">
        <v>18</v>
      </c>
    </row>
    <row r="94" spans="1:6" ht="15.75" x14ac:dyDescent="0.25">
      <c r="A94" s="82">
        <f t="shared" si="3"/>
        <v>0.33600000000000002</v>
      </c>
      <c r="B94" s="76">
        <v>17</v>
      </c>
      <c r="C94" s="76">
        <f t="shared" si="4"/>
        <v>0.255</v>
      </c>
      <c r="D94" s="76">
        <v>17</v>
      </c>
      <c r="E94" s="76">
        <f t="shared" si="5"/>
        <v>0.38400000000000001</v>
      </c>
      <c r="F94" s="76">
        <v>17</v>
      </c>
    </row>
    <row r="95" spans="1:6" ht="15.75" x14ac:dyDescent="0.25">
      <c r="A95" s="82">
        <f t="shared" si="3"/>
        <v>0.34599999999999997</v>
      </c>
      <c r="B95" s="76">
        <v>16</v>
      </c>
      <c r="C95" s="76">
        <f t="shared" si="4"/>
        <v>0.26300000000000001</v>
      </c>
      <c r="D95" s="76">
        <v>16</v>
      </c>
      <c r="E95" s="76">
        <f t="shared" si="5"/>
        <v>0.39600000000000002</v>
      </c>
      <c r="F95" s="76">
        <v>16</v>
      </c>
    </row>
    <row r="96" spans="1:6" ht="15.75" x14ac:dyDescent="0.25">
      <c r="A96" s="82">
        <f t="shared" si="3"/>
        <v>0.35799999999999998</v>
      </c>
      <c r="B96" s="76">
        <v>15</v>
      </c>
      <c r="C96" s="76">
        <f t="shared" si="4"/>
        <v>0.27200000000000002</v>
      </c>
      <c r="D96" s="76">
        <v>15</v>
      </c>
      <c r="E96" s="76">
        <f t="shared" si="5"/>
        <v>0.40899999999999997</v>
      </c>
      <c r="F96" s="76">
        <v>15</v>
      </c>
    </row>
    <row r="97" spans="1:6" ht="15.75" x14ac:dyDescent="0.25">
      <c r="A97" s="82">
        <f t="shared" si="3"/>
        <v>0.37</v>
      </c>
      <c r="B97" s="76">
        <v>14</v>
      </c>
      <c r="C97" s="76">
        <f t="shared" si="4"/>
        <v>0.28199999999999997</v>
      </c>
      <c r="D97" s="76">
        <v>14</v>
      </c>
      <c r="E97" s="76">
        <f t="shared" si="5"/>
        <v>0.42299999999999999</v>
      </c>
      <c r="F97" s="76">
        <v>14</v>
      </c>
    </row>
    <row r="98" spans="1:6" ht="15.75" x14ac:dyDescent="0.25">
      <c r="A98" s="82">
        <f t="shared" si="3"/>
        <v>0.38400000000000001</v>
      </c>
      <c r="B98" s="76">
        <v>13</v>
      </c>
      <c r="C98" s="76">
        <f t="shared" si="4"/>
        <v>0.29299999999999998</v>
      </c>
      <c r="D98" s="76">
        <v>13</v>
      </c>
      <c r="E98" s="76">
        <f t="shared" si="5"/>
        <v>0.439</v>
      </c>
      <c r="F98" s="76">
        <v>13</v>
      </c>
    </row>
    <row r="99" spans="1:6" ht="15.75" x14ac:dyDescent="0.25">
      <c r="A99" s="82">
        <f t="shared" si="3"/>
        <v>0.4</v>
      </c>
      <c r="B99" s="76">
        <v>12</v>
      </c>
      <c r="C99" s="76">
        <f t="shared" si="4"/>
        <v>0.30599999999999999</v>
      </c>
      <c r="D99" s="76">
        <v>12</v>
      </c>
      <c r="E99" s="76">
        <f t="shared" si="5"/>
        <v>0.45700000000000002</v>
      </c>
      <c r="F99" s="76">
        <v>12</v>
      </c>
    </row>
    <row r="100" spans="1:6" ht="15.75" x14ac:dyDescent="0.25">
      <c r="A100" s="82">
        <f t="shared" si="3"/>
        <v>0.41799999999999998</v>
      </c>
      <c r="B100" s="76">
        <v>11</v>
      </c>
      <c r="C100" s="76">
        <f t="shared" si="4"/>
        <v>0.32100000000000001</v>
      </c>
      <c r="D100" s="76">
        <v>11</v>
      </c>
      <c r="E100" s="76">
        <f t="shared" si="5"/>
        <v>0.47699999999999998</v>
      </c>
      <c r="F100" s="76">
        <v>11</v>
      </c>
    </row>
    <row r="101" spans="1:6" ht="15.75" x14ac:dyDescent="0.25">
      <c r="A101" s="82">
        <f t="shared" si="3"/>
        <v>0.438</v>
      </c>
      <c r="B101" s="76">
        <v>10</v>
      </c>
      <c r="C101" s="76">
        <f t="shared" si="4"/>
        <v>0.33800000000000002</v>
      </c>
      <c r="D101" s="76">
        <v>10</v>
      </c>
      <c r="E101" s="76">
        <f t="shared" si="5"/>
        <v>0.501</v>
      </c>
      <c r="F101" s="76">
        <v>10</v>
      </c>
    </row>
    <row r="102" spans="1:6" ht="15.75" x14ac:dyDescent="0.25">
      <c r="A102" s="82">
        <f t="shared" si="3"/>
        <v>0.46200000000000002</v>
      </c>
      <c r="B102" s="76">
        <v>9</v>
      </c>
      <c r="C102" s="76">
        <f t="shared" si="4"/>
        <v>0.35799999999999998</v>
      </c>
      <c r="D102" s="76">
        <v>9</v>
      </c>
      <c r="E102" s="76">
        <f t="shared" si="5"/>
        <v>0.52800000000000002</v>
      </c>
      <c r="F102" s="76">
        <v>9</v>
      </c>
    </row>
    <row r="103" spans="1:6" ht="15.75" x14ac:dyDescent="0.25">
      <c r="A103" s="82">
        <f t="shared" si="3"/>
        <v>0.49</v>
      </c>
      <c r="B103" s="76">
        <v>8</v>
      </c>
      <c r="C103" s="76">
        <f t="shared" si="4"/>
        <v>0.38200000000000001</v>
      </c>
      <c r="D103" s="76">
        <v>8</v>
      </c>
      <c r="E103" s="76">
        <f t="shared" si="5"/>
        <v>0.56000000000000005</v>
      </c>
      <c r="F103" s="76">
        <v>8</v>
      </c>
    </row>
    <row r="104" spans="1:6" ht="15.75" x14ac:dyDescent="0.25">
      <c r="A104" s="82">
        <f t="shared" si="3"/>
        <v>0.52400000000000002</v>
      </c>
      <c r="B104" s="76">
        <v>7</v>
      </c>
      <c r="C104" s="76">
        <f t="shared" si="4"/>
        <v>0.41199999999999998</v>
      </c>
      <c r="D104" s="76">
        <v>7</v>
      </c>
      <c r="E104" s="76">
        <f t="shared" si="5"/>
        <v>0.59899999999999998</v>
      </c>
      <c r="F104" s="76">
        <v>7</v>
      </c>
    </row>
    <row r="105" spans="1:6" ht="15.75" x14ac:dyDescent="0.25">
      <c r="A105" s="82">
        <f t="shared" si="3"/>
        <v>0.56599999999999995</v>
      </c>
      <c r="B105" s="76">
        <v>6</v>
      </c>
      <c r="C105" s="76">
        <f t="shared" si="4"/>
        <v>0.45</v>
      </c>
      <c r="D105" s="76">
        <v>6</v>
      </c>
      <c r="E105" s="76">
        <f t="shared" si="5"/>
        <v>0.64600000000000002</v>
      </c>
      <c r="F105" s="76">
        <v>6</v>
      </c>
    </row>
    <row r="106" spans="1:6" ht="15.75" x14ac:dyDescent="0.25">
      <c r="A106" s="82">
        <f t="shared" si="3"/>
        <v>0.62</v>
      </c>
      <c r="B106" s="76">
        <v>5</v>
      </c>
      <c r="C106" s="76">
        <f t="shared" si="4"/>
        <v>0.501</v>
      </c>
      <c r="D106" s="76">
        <v>5</v>
      </c>
      <c r="E106" s="76">
        <f t="shared" si="5"/>
        <v>0.70799999999999996</v>
      </c>
      <c r="F106" s="76">
        <v>5</v>
      </c>
    </row>
    <row r="107" spans="1:6" ht="15.75" x14ac:dyDescent="0.25">
      <c r="A107" s="82">
        <f t="shared" si="3"/>
        <v>0.69299999999999995</v>
      </c>
      <c r="B107" s="76">
        <v>4</v>
      </c>
      <c r="C107" s="76">
        <f t="shared" si="4"/>
        <v>0.57499999999999996</v>
      </c>
      <c r="D107" s="76">
        <v>4</v>
      </c>
      <c r="E107" s="76">
        <f t="shared" si="5"/>
        <v>0.79200000000000004</v>
      </c>
      <c r="F107" s="76">
        <v>4</v>
      </c>
    </row>
    <row r="108" spans="1:6" ht="15.75" x14ac:dyDescent="0.25">
      <c r="A108" s="82">
        <f t="shared" si="3"/>
        <v>0.8</v>
      </c>
      <c r="B108" s="76">
        <v>3</v>
      </c>
      <c r="C108" s="76">
        <f t="shared" si="4"/>
        <v>0.69699999999999995</v>
      </c>
      <c r="D108" s="76">
        <v>3</v>
      </c>
      <c r="E108" s="76">
        <f t="shared" si="5"/>
        <v>0.91400000000000003</v>
      </c>
      <c r="F108" s="76">
        <v>3</v>
      </c>
    </row>
    <row r="109" spans="1:6" ht="15.75" x14ac:dyDescent="0.25">
      <c r="A109" s="82">
        <f t="shared" si="3"/>
        <v>0.98</v>
      </c>
      <c r="B109" s="76">
        <v>2</v>
      </c>
      <c r="C109" s="76">
        <f t="shared" si="4"/>
        <v>0.96699999999999997</v>
      </c>
      <c r="D109" s="76">
        <v>2</v>
      </c>
      <c r="E109" s="76">
        <f t="shared" si="5"/>
        <v>1.1200000000000001</v>
      </c>
      <c r="F109" s="76">
        <v>2</v>
      </c>
    </row>
  </sheetData>
  <sheetProtection sheet="1" objects="1" scenarios="1" formatCells="0" formatColumns="0" formatRows="0"/>
  <mergeCells count="5">
    <mergeCell ref="A1:F1"/>
    <mergeCell ref="A8:F8"/>
    <mergeCell ref="A9:B9"/>
    <mergeCell ref="C9:D9"/>
    <mergeCell ref="E9:F9"/>
  </mergeCells>
  <pageMargins left="0.59055118110236227" right="0.59055118110236227" top="0.59055118110236227" bottom="0.39370078740157483" header="0.19685039370078741" footer="0.19685039370078741"/>
  <pageSetup paperSize="9" scale="6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Исходные данные</vt:lpstr>
      <vt:lpstr>ККШ</vt:lpstr>
      <vt:lpstr>Протокол</vt:lpstr>
      <vt:lpstr>Число КП</vt:lpstr>
      <vt:lpstr>'Исходные данные'!Заголовки_для_печати</vt:lpstr>
      <vt:lpstr>'Исходные данные'!Область_печати</vt:lpstr>
      <vt:lpstr>ККШ!Область_печати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2016-03-03T12:18:09Z</dcterms:modified>
</cp:coreProperties>
</file>