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585" windowWidth="14805" windowHeight="7530"/>
  </bookViews>
  <sheets>
    <sheet name="Лист1" sheetId="2" r:id="rId1"/>
  </sheets>
  <definedNames>
    <definedName name="_xlnm.Print_Area" localSheetId="0">Лист1!$A$1:$M$41</definedName>
  </definedNames>
  <calcPr calcId="145621"/>
</workbook>
</file>

<file path=xl/calcChain.xml><?xml version="1.0" encoding="utf-8"?>
<calcChain xmlns="http://schemas.openxmlformats.org/spreadsheetml/2006/main">
  <c r="H18" i="2" l="1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17" i="2"/>
  <c r="A18" i="2" l="1"/>
  <c r="A24" i="2"/>
  <c r="A26" i="2"/>
  <c r="A28" i="2"/>
  <c r="A30" i="2"/>
  <c r="A32" i="2"/>
  <c r="A34" i="2"/>
  <c r="A36" i="2"/>
  <c r="A38" i="2"/>
  <c r="A40" i="2"/>
  <c r="A20" i="2"/>
  <c r="A19" i="2"/>
  <c r="A23" i="2"/>
  <c r="A27" i="2"/>
  <c r="A29" i="2"/>
  <c r="A31" i="2"/>
  <c r="A33" i="2"/>
  <c r="A35" i="2"/>
  <c r="A39" i="2"/>
  <c r="A41" i="2"/>
  <c r="A22" i="2"/>
  <c r="A17" i="2"/>
  <c r="A21" i="2"/>
  <c r="A25" i="2"/>
  <c r="A37" i="2"/>
  <c r="J17" i="2" l="1"/>
  <c r="K36" i="2"/>
  <c r="K17" i="2"/>
  <c r="F39" i="2"/>
  <c r="G39" i="2"/>
  <c r="F20" i="2"/>
  <c r="G20" i="2"/>
  <c r="F40" i="2"/>
  <c r="G40" i="2"/>
  <c r="F36" i="2"/>
  <c r="G36" i="2"/>
  <c r="F32" i="2"/>
  <c r="G32" i="2"/>
  <c r="F28" i="2"/>
  <c r="G28" i="2"/>
  <c r="F24" i="2"/>
  <c r="G24" i="2"/>
  <c r="F21" i="2"/>
  <c r="G21" i="2"/>
  <c r="F22" i="2"/>
  <c r="G22" i="2"/>
  <c r="F33" i="2"/>
  <c r="G33" i="2"/>
  <c r="F17" i="2"/>
  <c r="G17" i="2"/>
  <c r="F41" i="2"/>
  <c r="G41" i="2"/>
  <c r="F31" i="2"/>
  <c r="G31" i="2"/>
  <c r="F27" i="2"/>
  <c r="G27" i="2"/>
  <c r="F38" i="2"/>
  <c r="G38" i="2"/>
  <c r="F34" i="2"/>
  <c r="G34" i="2"/>
  <c r="F30" i="2"/>
  <c r="G30" i="2"/>
  <c r="F26" i="2"/>
  <c r="G26" i="2"/>
  <c r="F18" i="2"/>
  <c r="G18" i="2"/>
  <c r="F37" i="2"/>
  <c r="G37" i="2"/>
  <c r="F29" i="2"/>
  <c r="G29" i="2"/>
  <c r="F23" i="2"/>
  <c r="G23" i="2"/>
  <c r="F25" i="2"/>
  <c r="G25" i="2"/>
  <c r="F35" i="2"/>
  <c r="G35" i="2"/>
  <c r="F19" i="2"/>
  <c r="G19" i="2"/>
  <c r="K32" i="2" l="1"/>
  <c r="E10" i="2"/>
  <c r="L18" i="2"/>
  <c r="M18" i="2"/>
  <c r="I17" i="2"/>
  <c r="E8" i="2" l="1"/>
  <c r="E11" i="2" l="1"/>
  <c r="E9" i="2"/>
  <c r="K18" i="2"/>
  <c r="L20" i="2"/>
  <c r="M20" i="2" s="1"/>
  <c r="E13" i="2" l="1"/>
  <c r="E12" i="2"/>
</calcChain>
</file>

<file path=xl/sharedStrings.xml><?xml version="1.0" encoding="utf-8"?>
<sst xmlns="http://schemas.openxmlformats.org/spreadsheetml/2006/main" count="37" uniqueCount="34">
  <si>
    <r>
      <t>X</t>
    </r>
    <r>
      <rPr>
        <vertAlign val="subscript"/>
        <sz val="12"/>
        <color theme="1"/>
        <rFont val="Times New Roman"/>
        <family val="1"/>
        <charset val="204"/>
      </rPr>
      <t>1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</si>
  <si>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2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</si>
  <si>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ср</t>
    </r>
  </si>
  <si>
    <t>№ п/п</t>
  </si>
  <si>
    <t>Дата</t>
  </si>
  <si>
    <r>
      <t>|X</t>
    </r>
    <r>
      <rPr>
        <vertAlign val="subscript"/>
        <sz val="12"/>
        <rFont val="Times New Roman"/>
        <family val="1"/>
        <charset val="204"/>
      </rPr>
      <t>k1</t>
    </r>
    <r>
      <rPr>
        <sz val="12"/>
        <rFont val="Times New Roman"/>
        <family val="1"/>
        <charset val="204"/>
      </rPr>
      <t>-X</t>
    </r>
    <r>
      <rPr>
        <vertAlign val="subscript"/>
        <sz val="12"/>
        <rFont val="Times New Roman"/>
        <family val="1"/>
        <charset val="204"/>
      </rPr>
      <t>k2</t>
    </r>
    <r>
      <rPr>
        <sz val="12"/>
        <rFont val="Times New Roman"/>
        <family val="1"/>
        <charset val="204"/>
      </rPr>
      <t>|</t>
    </r>
  </si>
  <si>
    <r>
      <t>|X</t>
    </r>
    <r>
      <rPr>
        <vertAlign val="subscript"/>
        <sz val="12"/>
        <rFont val="Times New Roman"/>
        <family val="1"/>
        <charset val="204"/>
      </rPr>
      <t>cpk</t>
    </r>
    <r>
      <rPr>
        <sz val="12"/>
        <rFont val="Times New Roman"/>
        <family val="1"/>
        <charset val="204"/>
      </rPr>
      <t>-C|</t>
    </r>
  </si>
  <si>
    <r>
      <t>S</t>
    </r>
    <r>
      <rPr>
        <b/>
        <vertAlign val="subscript"/>
        <sz val="12"/>
        <color theme="1"/>
        <rFont val="Times New Roman"/>
        <family val="1"/>
        <charset val="204"/>
      </rPr>
      <t>rл</t>
    </r>
  </si>
  <si>
    <t>—</t>
  </si>
  <si>
    <r>
      <t>S</t>
    </r>
    <r>
      <rPr>
        <b/>
        <vertAlign val="subscript"/>
        <sz val="12"/>
        <color theme="1"/>
        <rFont val="Times New Roman"/>
        <family val="1"/>
        <charset val="204"/>
      </rPr>
      <t>Rл</t>
    </r>
  </si>
  <si>
    <r>
      <t>θ'</t>
    </r>
    <r>
      <rPr>
        <vertAlign val="subscript"/>
        <sz val="12"/>
        <rFont val="Times New Roman"/>
        <family val="1"/>
        <charset val="204"/>
      </rPr>
      <t>л</t>
    </r>
  </si>
  <si>
    <r>
      <t>если θ'</t>
    </r>
    <r>
      <rPr>
        <vertAlign val="subscript"/>
        <sz val="12"/>
        <color theme="1"/>
        <rFont val="Times New Roman"/>
        <family val="1"/>
        <charset val="204"/>
      </rPr>
      <t>л</t>
    </r>
    <r>
      <rPr>
        <sz val="12"/>
        <color theme="1"/>
        <rFont val="Times New Roman"/>
        <family val="1"/>
        <charset val="204"/>
      </rPr>
      <t xml:space="preserve"> незначима</t>
    </r>
  </si>
  <si>
    <r>
      <t>если θ'</t>
    </r>
    <r>
      <rPr>
        <vertAlign val="subscript"/>
        <sz val="12"/>
        <color theme="1"/>
        <rFont val="Times New Roman"/>
        <family val="1"/>
        <charset val="204"/>
      </rPr>
      <t>л</t>
    </r>
    <r>
      <rPr>
        <sz val="12"/>
        <color theme="1"/>
        <rFont val="Times New Roman"/>
        <family val="1"/>
        <charset val="204"/>
      </rPr>
      <t xml:space="preserve"> значима</t>
    </r>
  </si>
  <si>
    <t>Коэффициент</t>
  </si>
  <si>
    <t>Стьюдента t</t>
  </si>
  <si>
    <r>
      <t>Стьюдента t</t>
    </r>
    <r>
      <rPr>
        <vertAlign val="subscript"/>
        <sz val="12"/>
        <color theme="1"/>
        <rFont val="Times New Roman"/>
        <family val="1"/>
        <charset val="204"/>
      </rPr>
      <t>табл</t>
    </r>
  </si>
  <si>
    <t>Определяемый показатель</t>
  </si>
  <si>
    <t>Оценка показателей качества результатов анализа</t>
  </si>
  <si>
    <t>СКО повторяемости</t>
  </si>
  <si>
    <t>Предел повторяемости</t>
  </si>
  <si>
    <t>Правильность</t>
  </si>
  <si>
    <t>результатов анализа</t>
  </si>
  <si>
    <t>методики анализа</t>
  </si>
  <si>
    <t>СКО воспроизводимости*</t>
  </si>
  <si>
    <t>Предел воспроизводимости*</t>
  </si>
  <si>
    <t>Примечание: для результатов полученных в лаборатории - внутрилабораторная прецизионность.</t>
  </si>
  <si>
    <t>концентрация</t>
  </si>
  <si>
    <r>
      <t>S</t>
    </r>
    <r>
      <rPr>
        <vertAlign val="subscript"/>
        <sz val="12"/>
        <color theme="1"/>
        <rFont val="Times New Roman"/>
        <family val="1"/>
        <charset val="204"/>
      </rPr>
      <t>k</t>
    </r>
    <r>
      <rPr>
        <vertAlign val="superscript"/>
        <sz val="12"/>
        <color theme="1"/>
        <rFont val="Times New Roman"/>
        <family val="1"/>
        <charset val="204"/>
      </rPr>
      <t>2</t>
    </r>
  </si>
  <si>
    <t>Показатель качества в абс. ед.</t>
  </si>
  <si>
    <t>Погрешность аттестованного значения образца для контроля</t>
  </si>
  <si>
    <t>Аттестованное значение образца для контроля</t>
  </si>
  <si>
    <r>
      <t>Правильность Δ</t>
    </r>
    <r>
      <rPr>
        <vertAlign val="subscript"/>
        <sz val="12"/>
        <rFont val="Times New Roman"/>
        <family val="1"/>
        <charset val="204"/>
      </rPr>
      <t xml:space="preserve">Cл </t>
    </r>
    <r>
      <rPr>
        <sz val="12"/>
        <rFont val="Times New Roman"/>
        <family val="1"/>
        <charset val="204"/>
      </rPr>
      <t>(интервальная оценка)</t>
    </r>
  </si>
  <si>
    <r>
      <t>Точность Δ</t>
    </r>
    <r>
      <rPr>
        <vertAlign val="subscript"/>
        <sz val="12"/>
        <rFont val="Times New Roman"/>
        <family val="1"/>
        <charset val="204"/>
      </rPr>
      <t xml:space="preserve">л </t>
    </r>
    <r>
      <rPr>
        <sz val="12"/>
        <rFont val="Times New Roman"/>
        <family val="1"/>
        <charset val="204"/>
      </rPr>
      <t>(интервальная оценка)</t>
    </r>
  </si>
  <si>
    <t>Погрешность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</si>
</sst>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vertAlign val="subscript"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0" xfId="0" applyFont="1"/>
    <xf numFmtId="0" fontId="4" fillId="0" borderId="7" xfId="0" applyFont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0" fillId="0" borderId="0" xfId="0" applyAlignment="1"/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left"/>
    </xf>
    <xf numFmtId="0" fontId="0" fillId="0" borderId="0" xfId="0" applyBorder="1" applyAlignment="1"/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8" xfId="0" applyBorder="1" applyAlignment="1"/>
    <xf numFmtId="0" fontId="4" fillId="0" borderId="0" xfId="0" applyFont="1" applyBorder="1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9"/>
  <sheetViews>
    <sheetView tabSelected="1" zoomScale="84" zoomScaleNormal="84" workbookViewId="0">
      <selection activeCell="A2" sqref="A2"/>
    </sheetView>
  </sheetViews>
  <sheetFormatPr defaultRowHeight="15" x14ac:dyDescent="0.25"/>
  <cols>
    <col min="1" max="1" width="6.140625" customWidth="1"/>
    <col min="2" max="2" width="16" customWidth="1"/>
    <col min="3" max="7" width="14.7109375" customWidth="1"/>
    <col min="8" max="8" width="21.140625" customWidth="1"/>
    <col min="9" max="9" width="15.28515625" customWidth="1"/>
    <col min="10" max="10" width="14.7109375" customWidth="1"/>
    <col min="11" max="11" width="18.5703125" customWidth="1"/>
    <col min="12" max="12" width="20.7109375" customWidth="1"/>
    <col min="13" max="13" width="20.5703125" customWidth="1"/>
    <col min="14" max="14" width="12" bestFit="1" customWidth="1"/>
    <col min="16" max="16" width="12" bestFit="1" customWidth="1"/>
  </cols>
  <sheetData>
    <row r="1" spans="1:22" ht="18.75" x14ac:dyDescent="0.25">
      <c r="A1" s="25" t="s">
        <v>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4"/>
      <c r="O1" s="4"/>
      <c r="P1" s="4"/>
      <c r="Q1" s="4"/>
      <c r="R1" s="4"/>
      <c r="S1" s="4"/>
      <c r="T1" s="4"/>
      <c r="U1" s="4"/>
      <c r="V1" s="4"/>
    </row>
    <row r="2" spans="1:22" ht="15.75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1"/>
      <c r="M2" s="1"/>
      <c r="N2" s="4"/>
      <c r="O2" s="4"/>
      <c r="P2" s="4"/>
      <c r="Q2" s="4"/>
      <c r="R2" s="4"/>
      <c r="S2" s="4"/>
      <c r="T2" s="4"/>
      <c r="U2" s="4"/>
      <c r="V2" s="4"/>
    </row>
    <row r="3" spans="1:22" ht="15.75" x14ac:dyDescent="0.25">
      <c r="A3" s="47" t="s">
        <v>16</v>
      </c>
      <c r="B3" s="48"/>
      <c r="C3" s="48"/>
      <c r="D3" s="48"/>
      <c r="E3" s="48"/>
      <c r="F3" s="3" t="s">
        <v>26</v>
      </c>
      <c r="G3" s="35"/>
      <c r="N3" s="1"/>
      <c r="O3" s="1"/>
      <c r="P3" s="4"/>
      <c r="Q3" s="4"/>
      <c r="R3" s="4"/>
      <c r="S3" s="4"/>
      <c r="T3" s="4"/>
      <c r="U3" s="4"/>
      <c r="V3" s="4"/>
    </row>
    <row r="4" spans="1:22" ht="15.75" x14ac:dyDescent="0.25">
      <c r="A4" s="47" t="s">
        <v>30</v>
      </c>
      <c r="B4" s="48"/>
      <c r="C4" s="48"/>
      <c r="D4" s="48"/>
      <c r="E4" s="48"/>
      <c r="F4" s="52">
        <v>1.1649</v>
      </c>
      <c r="G4" s="35"/>
      <c r="N4" s="1"/>
      <c r="O4" s="1"/>
      <c r="P4" s="4"/>
      <c r="Q4" s="4"/>
      <c r="R4" s="4"/>
      <c r="S4" s="4"/>
      <c r="T4" s="4"/>
      <c r="U4" s="4"/>
      <c r="V4" s="4"/>
    </row>
    <row r="5" spans="1:22" ht="15.75" customHeight="1" x14ac:dyDescent="0.25">
      <c r="A5" s="47" t="s">
        <v>29</v>
      </c>
      <c r="B5" s="48"/>
      <c r="C5" s="48"/>
      <c r="D5" s="48"/>
      <c r="E5" s="48"/>
      <c r="F5" s="52">
        <v>5.0000000000000001E-4</v>
      </c>
      <c r="G5" s="35"/>
      <c r="N5" s="1"/>
      <c r="O5" s="1"/>
      <c r="P5" s="4"/>
      <c r="Q5" s="4"/>
      <c r="R5" s="4"/>
      <c r="S5" s="4"/>
      <c r="T5" s="4"/>
      <c r="U5" s="4"/>
      <c r="V5" s="4"/>
    </row>
    <row r="6" spans="1:22" ht="15.75" x14ac:dyDescent="0.25">
      <c r="A6" s="1"/>
      <c r="B6" s="1"/>
      <c r="C6" s="1"/>
      <c r="D6" s="1"/>
      <c r="E6" s="4"/>
      <c r="F6" s="4"/>
      <c r="G6" s="46"/>
      <c r="H6" s="4"/>
      <c r="N6" s="1"/>
      <c r="O6" s="1"/>
      <c r="P6" s="4"/>
      <c r="Q6" s="4"/>
      <c r="R6" s="4"/>
      <c r="S6" s="4"/>
      <c r="T6" s="4"/>
      <c r="U6" s="4"/>
      <c r="V6" s="4"/>
    </row>
    <row r="7" spans="1:22" ht="41.25" customHeight="1" x14ac:dyDescent="0.25">
      <c r="A7" s="33" t="s">
        <v>28</v>
      </c>
      <c r="B7" s="43"/>
      <c r="C7" s="44"/>
      <c r="D7" s="12" t="s">
        <v>22</v>
      </c>
      <c r="E7" s="12" t="s">
        <v>21</v>
      </c>
      <c r="F7" s="15"/>
      <c r="G7" s="15"/>
      <c r="H7" s="15"/>
      <c r="N7" s="1"/>
      <c r="O7" s="1"/>
      <c r="P7" s="4"/>
      <c r="Q7" s="4"/>
      <c r="R7" s="4"/>
      <c r="S7" s="4"/>
      <c r="T7" s="4"/>
      <c r="U7" s="4"/>
      <c r="V7" s="4"/>
    </row>
    <row r="8" spans="1:22" ht="15.75" x14ac:dyDescent="0.25">
      <c r="A8" s="33" t="s">
        <v>18</v>
      </c>
      <c r="B8" s="43"/>
      <c r="C8" s="44"/>
      <c r="D8" s="49">
        <v>1.4E-3</v>
      </c>
      <c r="E8" s="6">
        <f>I17</f>
        <v>1.0152832117197666E-3</v>
      </c>
      <c r="F8" s="1"/>
      <c r="G8" s="4"/>
      <c r="H8" s="4"/>
      <c r="N8" s="1"/>
      <c r="O8" s="1"/>
      <c r="P8" s="4"/>
      <c r="Q8" s="4"/>
      <c r="R8" s="4"/>
      <c r="S8" s="4"/>
      <c r="T8" s="4"/>
      <c r="U8" s="4"/>
      <c r="V8" s="4"/>
    </row>
    <row r="9" spans="1:22" ht="15.75" x14ac:dyDescent="0.25">
      <c r="A9" s="33" t="s">
        <v>19</v>
      </c>
      <c r="B9" s="43"/>
      <c r="C9" s="44"/>
      <c r="D9" s="49">
        <v>4.0000000000000001E-3</v>
      </c>
      <c r="E9" s="6">
        <f>E8*2.77</f>
        <v>2.8123344964637535E-3</v>
      </c>
      <c r="F9" s="1"/>
      <c r="G9" s="4"/>
      <c r="H9" s="4"/>
      <c r="N9" s="1"/>
      <c r="O9" s="1"/>
      <c r="P9" s="4"/>
      <c r="Q9" s="4"/>
      <c r="R9" s="4"/>
      <c r="S9" s="4"/>
      <c r="T9" s="4"/>
      <c r="U9" s="4"/>
      <c r="V9" s="4"/>
    </row>
    <row r="10" spans="1:22" ht="15.75" x14ac:dyDescent="0.25">
      <c r="A10" s="33" t="s">
        <v>23</v>
      </c>
      <c r="B10" s="43"/>
      <c r="C10" s="44"/>
      <c r="D10" s="49">
        <v>1.8E-3</v>
      </c>
      <c r="E10" s="6">
        <f>J17</f>
        <v>1.2469730015788999E-3</v>
      </c>
      <c r="F10" s="1"/>
      <c r="G10" s="4"/>
      <c r="H10" s="4"/>
      <c r="J10" s="34"/>
      <c r="K10" s="38"/>
      <c r="L10" s="39"/>
      <c r="M10" s="36"/>
      <c r="N10" s="13"/>
      <c r="O10" s="1"/>
      <c r="P10" s="4"/>
      <c r="Q10" s="4"/>
      <c r="R10" s="4"/>
      <c r="S10" s="4"/>
      <c r="T10" s="4"/>
      <c r="U10" s="4"/>
      <c r="V10" s="4"/>
    </row>
    <row r="11" spans="1:22" ht="15.75" x14ac:dyDescent="0.25">
      <c r="A11" s="33" t="s">
        <v>24</v>
      </c>
      <c r="B11" s="43"/>
      <c r="C11" s="44"/>
      <c r="D11" s="49">
        <v>5.0000000000000001E-3</v>
      </c>
      <c r="E11" s="6">
        <f>E10*2.77</f>
        <v>3.454115214373553E-3</v>
      </c>
      <c r="F11" s="1"/>
      <c r="G11" s="4"/>
      <c r="H11" s="4"/>
      <c r="J11" s="40"/>
      <c r="K11" s="40"/>
      <c r="L11" s="40"/>
      <c r="M11" s="40"/>
      <c r="N11" s="13"/>
      <c r="O11" s="1"/>
      <c r="P11" s="4"/>
      <c r="Q11" s="4"/>
      <c r="R11" s="4"/>
      <c r="S11" s="4"/>
      <c r="T11" s="4"/>
      <c r="U11" s="4"/>
      <c r="V11" s="4"/>
    </row>
    <row r="12" spans="1:22" ht="12.75" customHeight="1" x14ac:dyDescent="0.25">
      <c r="A12" s="33" t="s">
        <v>20</v>
      </c>
      <c r="B12" s="43"/>
      <c r="C12" s="44"/>
      <c r="D12" s="50" t="s">
        <v>8</v>
      </c>
      <c r="E12" s="6">
        <f>IF(K18="Систематическая погрешность незначима",L18,L20)</f>
        <v>7.4771110035895798E-4</v>
      </c>
      <c r="F12" s="1"/>
      <c r="G12" s="4"/>
      <c r="H12" s="4"/>
      <c r="J12" s="41"/>
      <c r="K12" s="42"/>
      <c r="L12" s="42"/>
      <c r="M12" s="42"/>
      <c r="N12" s="13"/>
      <c r="O12" s="1"/>
      <c r="P12" s="4"/>
      <c r="Q12" s="4"/>
      <c r="R12" s="4"/>
      <c r="S12" s="4"/>
      <c r="T12" s="4"/>
      <c r="U12" s="4"/>
      <c r="V12" s="4"/>
    </row>
    <row r="13" spans="1:22" ht="15.75" x14ac:dyDescent="0.25">
      <c r="A13" s="33" t="s">
        <v>33</v>
      </c>
      <c r="B13" s="43"/>
      <c r="C13" s="44"/>
      <c r="D13" s="49">
        <v>4.0000000000000001E-3</v>
      </c>
      <c r="E13" s="6">
        <f>IF(K18="Систематическая погрешность незначима",M18,M20)</f>
        <v>2.5558825865572865E-3</v>
      </c>
      <c r="F13" s="1"/>
      <c r="G13" s="4"/>
      <c r="H13" s="4"/>
      <c r="I13" s="1"/>
      <c r="J13" s="1"/>
      <c r="K13" s="1"/>
      <c r="L13" s="1"/>
      <c r="M13" s="1"/>
      <c r="N13" s="4"/>
      <c r="O13" s="4"/>
      <c r="P13" s="4"/>
      <c r="Q13" s="4"/>
      <c r="R13" s="4"/>
      <c r="S13" s="4"/>
      <c r="T13" s="4"/>
      <c r="U13" s="4"/>
      <c r="V13" s="4"/>
    </row>
    <row r="14" spans="1:22" ht="39.75" customHeight="1" x14ac:dyDescent="0.25">
      <c r="A14" s="37" t="s">
        <v>25</v>
      </c>
      <c r="B14" s="45"/>
      <c r="C14" s="45"/>
      <c r="D14" s="45"/>
      <c r="E14" s="45"/>
      <c r="F14" s="1"/>
      <c r="G14" s="4"/>
      <c r="H14" s="4"/>
      <c r="I14" s="1"/>
      <c r="J14" s="1"/>
      <c r="K14" s="1"/>
      <c r="L14" s="1"/>
      <c r="M14" s="1"/>
      <c r="N14" s="4"/>
      <c r="O14" s="4"/>
      <c r="P14" s="4"/>
      <c r="Q14" s="4"/>
      <c r="R14" s="4"/>
      <c r="S14" s="4"/>
      <c r="T14" s="4"/>
      <c r="U14" s="4"/>
      <c r="V14" s="4"/>
    </row>
    <row r="15" spans="1:22" ht="15.75" x14ac:dyDescent="0.25">
      <c r="A15" s="1"/>
      <c r="B15" s="34"/>
      <c r="C15" s="35"/>
      <c r="D15" s="36"/>
      <c r="E15" s="36"/>
      <c r="F15" s="1"/>
      <c r="G15" s="4"/>
      <c r="H15" s="4"/>
      <c r="I15" s="1"/>
      <c r="J15" s="1"/>
      <c r="K15" s="1"/>
      <c r="L15" s="1"/>
      <c r="M15" s="1"/>
      <c r="N15" s="4"/>
      <c r="O15" s="4"/>
      <c r="P15" s="4"/>
      <c r="Q15" s="4"/>
      <c r="R15" s="4"/>
      <c r="S15" s="4"/>
      <c r="T15" s="4"/>
      <c r="U15" s="4"/>
      <c r="V15" s="4"/>
    </row>
    <row r="16" spans="1:22" ht="58.5" customHeight="1" x14ac:dyDescent="0.25">
      <c r="A16" s="2" t="s">
        <v>3</v>
      </c>
      <c r="B16" s="2" t="s">
        <v>4</v>
      </c>
      <c r="C16" s="3" t="s">
        <v>0</v>
      </c>
      <c r="D16" s="3" t="s">
        <v>1</v>
      </c>
      <c r="E16" s="3" t="s">
        <v>2</v>
      </c>
      <c r="F16" s="3" t="s">
        <v>5</v>
      </c>
      <c r="G16" s="3" t="s">
        <v>6</v>
      </c>
      <c r="H16" s="2" t="s">
        <v>27</v>
      </c>
      <c r="I16" s="6" t="s">
        <v>7</v>
      </c>
      <c r="J16" s="6" t="s">
        <v>9</v>
      </c>
      <c r="K16" s="3" t="s">
        <v>10</v>
      </c>
      <c r="L16" s="2" t="s">
        <v>31</v>
      </c>
      <c r="M16" s="2" t="s">
        <v>32</v>
      </c>
      <c r="N16" s="4"/>
      <c r="O16" s="4"/>
      <c r="P16" s="4"/>
      <c r="Q16" s="4"/>
      <c r="R16" s="4"/>
      <c r="S16" s="4"/>
      <c r="T16" s="4"/>
      <c r="U16" s="4"/>
      <c r="V16" s="4"/>
    </row>
    <row r="17" spans="1:13" ht="18.75" customHeight="1" x14ac:dyDescent="0.25">
      <c r="A17" s="3">
        <f>IF(C17="","",1)</f>
        <v>1</v>
      </c>
      <c r="B17" s="51">
        <v>41703</v>
      </c>
      <c r="C17" s="52">
        <v>1.1639999999999999</v>
      </c>
      <c r="D17" s="52">
        <v>1.165</v>
      </c>
      <c r="E17" s="3">
        <f>AVERAGE(C17:D17)</f>
        <v>1.1644999999999999</v>
      </c>
      <c r="F17" s="3">
        <f>IF(E17="","",ABS(C17-D17))</f>
        <v>1.0000000000001119E-3</v>
      </c>
      <c r="G17" s="3">
        <f>IF(E17="","",E17-$F$4)</f>
        <v>-4.0000000000017799E-4</v>
      </c>
      <c r="H17" s="3">
        <f>_xlfn.VAR.S(C17:D17)</f>
        <v>5.0000000000011189E-7</v>
      </c>
      <c r="I17" s="7">
        <f>SQRT(SUM(H17:H41)/COUNT(H17:H41))</f>
        <v>1.0152832117197666E-3</v>
      </c>
      <c r="J17" s="7">
        <f>_xlfn.STDEV.S(E17:E41)</f>
        <v>1.2469730015788999E-3</v>
      </c>
      <c r="K17" s="5">
        <f>AVERAGE(E17:E41)-F4</f>
        <v>6.1599999999994992E-4</v>
      </c>
      <c r="L17" s="8" t="s">
        <v>11</v>
      </c>
      <c r="M17" s="8" t="s">
        <v>11</v>
      </c>
    </row>
    <row r="18" spans="1:13" ht="18.75" customHeight="1" x14ac:dyDescent="0.25">
      <c r="A18" s="3">
        <f>IF(C18="","",2)</f>
        <v>2</v>
      </c>
      <c r="B18" s="51">
        <v>41733</v>
      </c>
      <c r="C18" s="52">
        <v>1.1659999999999999</v>
      </c>
      <c r="D18" s="52">
        <v>1.1659999999999999</v>
      </c>
      <c r="E18" s="3">
        <f t="shared" ref="E18:E41" si="0">AVERAGE(C18:D18)</f>
        <v>1.1659999999999999</v>
      </c>
      <c r="F18" s="3">
        <f t="shared" ref="F18:F41" si="1">IF(E18="","",ABS(C18-D18))</f>
        <v>0</v>
      </c>
      <c r="G18" s="3">
        <f>IF(E18="","",E18-$F$4)</f>
        <v>1.0999999999998789E-3</v>
      </c>
      <c r="H18" s="3">
        <f t="shared" ref="H18:H41" si="2">_xlfn.VAR.S(C18:D18)</f>
        <v>0</v>
      </c>
      <c r="I18" s="20"/>
      <c r="J18" s="20"/>
      <c r="K18" s="27" t="str">
        <f>IF(K32&lt;=K36,"Систематическая погрешность незначима","Систематическая погрешность значима")</f>
        <v>Систематическая погрешность незначима</v>
      </c>
      <c r="L18" s="17">
        <f>1.96*SQRT(J17^2/COUNT(E17:E41)+F5^2/3)</f>
        <v>7.4771110035895798E-4</v>
      </c>
      <c r="M18" s="17">
        <f>1.96*SQRT(J17^2+J17^2/COUNT(E17:E41)+F5^2/3)</f>
        <v>2.5558825865572865E-3</v>
      </c>
    </row>
    <row r="19" spans="1:13" ht="18.75" customHeight="1" x14ac:dyDescent="0.25">
      <c r="A19" s="3">
        <f>IF(C19="","",3)</f>
        <v>3</v>
      </c>
      <c r="B19" s="51">
        <v>41767</v>
      </c>
      <c r="C19" s="52">
        <v>1.163</v>
      </c>
      <c r="D19" s="52">
        <v>1.1659999999999999</v>
      </c>
      <c r="E19" s="3">
        <f t="shared" si="0"/>
        <v>1.1644999999999999</v>
      </c>
      <c r="F19" s="3">
        <f t="shared" si="1"/>
        <v>2.9999999999998916E-3</v>
      </c>
      <c r="G19" s="3">
        <f>IF(E19="","",E19-$F$4)</f>
        <v>-4.0000000000017799E-4</v>
      </c>
      <c r="H19" s="3">
        <f t="shared" si="2"/>
        <v>4.4999999999996757E-6</v>
      </c>
      <c r="I19" s="21"/>
      <c r="J19" s="23"/>
      <c r="K19" s="28"/>
      <c r="L19" s="8" t="s">
        <v>12</v>
      </c>
      <c r="M19" s="8" t="s">
        <v>12</v>
      </c>
    </row>
    <row r="20" spans="1:13" ht="18.75" customHeight="1" x14ac:dyDescent="0.25">
      <c r="A20" s="3">
        <f>IF(C20="","",4)</f>
        <v>4</v>
      </c>
      <c r="B20" s="51">
        <v>41794</v>
      </c>
      <c r="C20" s="52">
        <v>1.1679999999999999</v>
      </c>
      <c r="D20" s="52">
        <v>1.1679999999999999</v>
      </c>
      <c r="E20" s="3">
        <f t="shared" si="0"/>
        <v>1.1679999999999999</v>
      </c>
      <c r="F20" s="3">
        <f t="shared" si="1"/>
        <v>0</v>
      </c>
      <c r="G20" s="3">
        <f>IF(E20="","",E20-$F$4)</f>
        <v>3.0999999999998806E-3</v>
      </c>
      <c r="H20" s="3">
        <f t="shared" si="2"/>
        <v>0</v>
      </c>
      <c r="I20" s="21"/>
      <c r="J20" s="23"/>
      <c r="K20" s="28"/>
      <c r="L20" s="17">
        <f>MAX(ABS(K17-L18),ABS(K17+L18))</f>
        <v>1.3637111003589079E-3</v>
      </c>
      <c r="M20" s="11">
        <f>1.96*SQRT(J17^2+(L20/1.96)^2)</f>
        <v>2.7987804258120829E-3</v>
      </c>
    </row>
    <row r="21" spans="1:13" ht="18.75" customHeight="1" x14ac:dyDescent="0.25">
      <c r="A21" s="3">
        <f>IF(C21="","",5)</f>
        <v>5</v>
      </c>
      <c r="B21" s="51">
        <v>41822</v>
      </c>
      <c r="C21" s="52">
        <v>1.1659999999999999</v>
      </c>
      <c r="D21" s="52">
        <v>1.167</v>
      </c>
      <c r="E21" s="3">
        <f t="shared" si="0"/>
        <v>1.1665000000000001</v>
      </c>
      <c r="F21" s="3">
        <f t="shared" si="1"/>
        <v>1.0000000000001119E-3</v>
      </c>
      <c r="G21" s="3">
        <f>IF(E21="","",E21-$F$4)</f>
        <v>1.6000000000000458E-3</v>
      </c>
      <c r="H21" s="3">
        <f t="shared" si="2"/>
        <v>5.0000000000011189E-7</v>
      </c>
      <c r="I21" s="21"/>
      <c r="J21" s="23"/>
      <c r="K21" s="28"/>
      <c r="L21" s="8"/>
      <c r="M21" s="8"/>
    </row>
    <row r="22" spans="1:13" ht="18.75" customHeight="1" x14ac:dyDescent="0.25">
      <c r="A22" s="3">
        <f>IF(C22="","",6)</f>
        <v>6</v>
      </c>
      <c r="B22" s="51">
        <v>41922</v>
      </c>
      <c r="C22" s="52">
        <v>1.169</v>
      </c>
      <c r="D22" s="52">
        <v>1.1679999999999999</v>
      </c>
      <c r="E22" s="3">
        <f t="shared" si="0"/>
        <v>1.1684999999999999</v>
      </c>
      <c r="F22" s="3">
        <f t="shared" si="1"/>
        <v>1.0000000000001119E-3</v>
      </c>
      <c r="G22" s="3">
        <f>IF(E22="","",E22-$F$4)</f>
        <v>3.5999999999998256E-3</v>
      </c>
      <c r="H22" s="3">
        <f t="shared" si="2"/>
        <v>5.0000000000011189E-7</v>
      </c>
      <c r="I22" s="21"/>
      <c r="J22" s="23"/>
      <c r="K22" s="28"/>
      <c r="L22" s="16"/>
      <c r="M22" s="16"/>
    </row>
    <row r="23" spans="1:13" ht="18.75" customHeight="1" x14ac:dyDescent="0.25">
      <c r="A23" s="3">
        <f>IF(C23="","",7)</f>
        <v>7</v>
      </c>
      <c r="B23" s="51">
        <v>41955</v>
      </c>
      <c r="C23" s="52">
        <v>1.167</v>
      </c>
      <c r="D23" s="52">
        <v>1.167</v>
      </c>
      <c r="E23" s="3">
        <f t="shared" si="0"/>
        <v>1.167</v>
      </c>
      <c r="F23" s="3">
        <f t="shared" si="1"/>
        <v>0</v>
      </c>
      <c r="G23" s="3">
        <f>IF(E23="","",E23-$F$4)</f>
        <v>2.0999999999999908E-3</v>
      </c>
      <c r="H23" s="3">
        <f t="shared" si="2"/>
        <v>0</v>
      </c>
      <c r="I23" s="21"/>
      <c r="J23" s="23"/>
      <c r="K23" s="14"/>
      <c r="L23" s="16"/>
      <c r="M23" s="16"/>
    </row>
    <row r="24" spans="1:13" ht="18.75" customHeight="1" x14ac:dyDescent="0.25">
      <c r="A24" s="3">
        <f>IF(C24="","",8)</f>
        <v>8</v>
      </c>
      <c r="B24" s="51">
        <v>41974</v>
      </c>
      <c r="C24" s="52">
        <v>1.165</v>
      </c>
      <c r="D24" s="52">
        <v>1.165</v>
      </c>
      <c r="E24" s="3">
        <f t="shared" si="0"/>
        <v>1.165</v>
      </c>
      <c r="F24" s="3">
        <f t="shared" si="1"/>
        <v>0</v>
      </c>
      <c r="G24" s="3">
        <f>IF(E24="","",E24-$F$4)</f>
        <v>9.9999999999988987E-5</v>
      </c>
      <c r="H24" s="3">
        <f t="shared" si="2"/>
        <v>0</v>
      </c>
      <c r="I24" s="21"/>
      <c r="J24" s="23"/>
      <c r="K24" s="14"/>
      <c r="L24" s="16"/>
      <c r="M24" s="16"/>
    </row>
    <row r="25" spans="1:13" ht="18.75" customHeight="1" x14ac:dyDescent="0.25">
      <c r="A25" s="3">
        <f>IF(C25="","",9)</f>
        <v>9</v>
      </c>
      <c r="B25" s="51">
        <v>42023</v>
      </c>
      <c r="C25" s="52">
        <v>1.1659999999999999</v>
      </c>
      <c r="D25" s="52">
        <v>1.165</v>
      </c>
      <c r="E25" s="3">
        <f t="shared" si="0"/>
        <v>1.1655</v>
      </c>
      <c r="F25" s="3">
        <f t="shared" si="1"/>
        <v>9.9999999999988987E-4</v>
      </c>
      <c r="G25" s="3">
        <f>IF(E25="","",E25-$F$4)</f>
        <v>5.9999999999993392E-4</v>
      </c>
      <c r="H25" s="3">
        <f t="shared" si="2"/>
        <v>4.9999999999988986E-7</v>
      </c>
      <c r="I25" s="21"/>
      <c r="J25" s="23"/>
      <c r="K25" s="14"/>
      <c r="L25" s="16"/>
      <c r="M25" s="16"/>
    </row>
    <row r="26" spans="1:13" ht="18.75" customHeight="1" x14ac:dyDescent="0.25">
      <c r="A26" s="3">
        <f>IF(C26="","",10)</f>
        <v>10</v>
      </c>
      <c r="B26" s="51">
        <v>42046</v>
      </c>
      <c r="C26" s="52">
        <v>1.1659999999999999</v>
      </c>
      <c r="D26" s="52">
        <v>1.167</v>
      </c>
      <c r="E26" s="3">
        <f t="shared" si="0"/>
        <v>1.1665000000000001</v>
      </c>
      <c r="F26" s="3">
        <f t="shared" si="1"/>
        <v>1.0000000000001119E-3</v>
      </c>
      <c r="G26" s="3">
        <f>IF(E26="","",E26-$F$4)</f>
        <v>1.6000000000000458E-3</v>
      </c>
      <c r="H26" s="3">
        <f t="shared" si="2"/>
        <v>5.0000000000011189E-7</v>
      </c>
      <c r="I26" s="21"/>
      <c r="J26" s="23"/>
      <c r="K26" s="14"/>
      <c r="L26" s="16"/>
      <c r="M26" s="16"/>
    </row>
    <row r="27" spans="1:13" ht="18.75" customHeight="1" x14ac:dyDescent="0.25">
      <c r="A27" s="3">
        <f>IF(C27="","",11)</f>
        <v>11</v>
      </c>
      <c r="B27" s="51">
        <v>42066</v>
      </c>
      <c r="C27" s="52">
        <v>1.1659999999999999</v>
      </c>
      <c r="D27" s="52">
        <v>1.1639999999999999</v>
      </c>
      <c r="E27" s="3">
        <f t="shared" si="0"/>
        <v>1.165</v>
      </c>
      <c r="F27" s="3">
        <f t="shared" si="1"/>
        <v>2.0000000000000018E-3</v>
      </c>
      <c r="G27" s="3">
        <f>IF(E27="","",E27-$F$4)</f>
        <v>9.9999999999988987E-5</v>
      </c>
      <c r="H27" s="3">
        <f t="shared" si="2"/>
        <v>2.0000000000000037E-6</v>
      </c>
      <c r="I27" s="21"/>
      <c r="J27" s="23"/>
      <c r="K27" s="14"/>
      <c r="L27" s="16"/>
      <c r="M27" s="16"/>
    </row>
    <row r="28" spans="1:13" ht="18.75" customHeight="1" x14ac:dyDescent="0.25">
      <c r="A28" s="3">
        <f>IF(C28="","",12)</f>
        <v>12</v>
      </c>
      <c r="B28" s="51">
        <v>42101</v>
      </c>
      <c r="C28" s="52">
        <v>1.165</v>
      </c>
      <c r="D28" s="52">
        <v>1.1639999999999999</v>
      </c>
      <c r="E28" s="3">
        <f t="shared" si="0"/>
        <v>1.1644999999999999</v>
      </c>
      <c r="F28" s="3">
        <f t="shared" si="1"/>
        <v>1.0000000000001119E-3</v>
      </c>
      <c r="G28" s="3">
        <f>IF(E28="","",E28-$F$4)</f>
        <v>-4.0000000000017799E-4</v>
      </c>
      <c r="H28" s="3">
        <f t="shared" si="2"/>
        <v>5.0000000000011189E-7</v>
      </c>
      <c r="I28" s="21"/>
      <c r="J28" s="23"/>
      <c r="K28" s="14"/>
      <c r="L28" s="16"/>
      <c r="M28" s="16"/>
    </row>
    <row r="29" spans="1:13" ht="18.75" customHeight="1" x14ac:dyDescent="0.25">
      <c r="A29" s="3">
        <f>IF(C29="","",13)</f>
        <v>13</v>
      </c>
      <c r="B29" s="51">
        <v>42158</v>
      </c>
      <c r="C29" s="52">
        <v>1.1679999999999999</v>
      </c>
      <c r="D29" s="52">
        <v>1.165</v>
      </c>
      <c r="E29" s="3">
        <f t="shared" si="0"/>
        <v>1.1665000000000001</v>
      </c>
      <c r="F29" s="3">
        <f t="shared" si="1"/>
        <v>2.9999999999998916E-3</v>
      </c>
      <c r="G29" s="3">
        <f>IF(E29="","",E29-$F$4)</f>
        <v>1.6000000000000458E-3</v>
      </c>
      <c r="H29" s="3">
        <f t="shared" si="2"/>
        <v>4.4999999999996757E-6</v>
      </c>
      <c r="I29" s="21"/>
      <c r="J29" s="23"/>
      <c r="K29" s="14"/>
      <c r="L29" s="16"/>
      <c r="M29" s="16"/>
    </row>
    <row r="30" spans="1:13" ht="18.75" customHeight="1" x14ac:dyDescent="0.25">
      <c r="A30" s="3">
        <f>IF(C30="","",14)</f>
        <v>14</v>
      </c>
      <c r="B30" s="51">
        <v>42188</v>
      </c>
      <c r="C30" s="52">
        <v>1.169</v>
      </c>
      <c r="D30" s="52">
        <v>1.1659999999999999</v>
      </c>
      <c r="E30" s="3">
        <f t="shared" si="0"/>
        <v>1.1675</v>
      </c>
      <c r="F30" s="3">
        <f t="shared" si="1"/>
        <v>3.0000000000001137E-3</v>
      </c>
      <c r="G30" s="3">
        <f>IF(E30="","",E30-$F$4)</f>
        <v>2.5999999999999357E-3</v>
      </c>
      <c r="H30" s="3">
        <f t="shared" si="2"/>
        <v>4.5000000000003415E-6</v>
      </c>
      <c r="I30" s="21"/>
      <c r="J30" s="23"/>
      <c r="K30" s="19" t="s">
        <v>13</v>
      </c>
      <c r="L30" s="16"/>
      <c r="M30" s="16"/>
    </row>
    <row r="31" spans="1:13" ht="18.75" customHeight="1" x14ac:dyDescent="0.25">
      <c r="A31" s="3">
        <f>IF(C31="","",15)</f>
        <v>15</v>
      </c>
      <c r="B31" s="51">
        <v>42195</v>
      </c>
      <c r="C31" s="52">
        <v>1.1640999999999999</v>
      </c>
      <c r="D31" s="52">
        <v>1.1637</v>
      </c>
      <c r="E31" s="3">
        <f t="shared" si="0"/>
        <v>1.1638999999999999</v>
      </c>
      <c r="F31" s="3">
        <f t="shared" si="1"/>
        <v>3.9999999999995595E-4</v>
      </c>
      <c r="G31" s="3">
        <f>IF(E31="","",E31-$F$4)</f>
        <v>-1.0000000000001119E-3</v>
      </c>
      <c r="H31" s="3">
        <f t="shared" si="2"/>
        <v>7.9999999999982373E-8</v>
      </c>
      <c r="I31" s="21"/>
      <c r="J31" s="23"/>
      <c r="K31" s="18" t="s">
        <v>14</v>
      </c>
      <c r="L31" s="16"/>
      <c r="M31" s="16"/>
    </row>
    <row r="32" spans="1:13" ht="18.75" customHeight="1" x14ac:dyDescent="0.25">
      <c r="A32" s="3">
        <f>IF(C32="","",16)</f>
        <v>16</v>
      </c>
      <c r="B32" s="51">
        <v>42213</v>
      </c>
      <c r="C32" s="52">
        <v>1.1638999999999999</v>
      </c>
      <c r="D32" s="52">
        <v>1.1651</v>
      </c>
      <c r="E32" s="3">
        <f t="shared" si="0"/>
        <v>1.1644999999999999</v>
      </c>
      <c r="F32" s="3">
        <f t="shared" si="1"/>
        <v>1.2000000000000899E-3</v>
      </c>
      <c r="G32" s="3">
        <f>IF(E32="","",E32-$F$4)</f>
        <v>-4.0000000000017799E-4</v>
      </c>
      <c r="H32" s="3">
        <f t="shared" si="2"/>
        <v>7.2000000000010788E-7</v>
      </c>
      <c r="I32" s="21"/>
      <c r="J32" s="23"/>
      <c r="K32" s="29">
        <f>ABS(K17)/SQRT(J17^2/COUNT(E17:E41)+F5^2/3)</f>
        <v>1.6147413077327293</v>
      </c>
      <c r="L32" s="16"/>
      <c r="M32" s="16"/>
    </row>
    <row r="33" spans="1:16" ht="18.75" customHeight="1" x14ac:dyDescent="0.25">
      <c r="A33" s="3">
        <f>IF(C33="","",17)</f>
        <v>17</v>
      </c>
      <c r="B33" s="51">
        <v>42220</v>
      </c>
      <c r="C33" s="52">
        <v>1.165</v>
      </c>
      <c r="D33" s="52">
        <v>1.1659999999999999</v>
      </c>
      <c r="E33" s="3">
        <f t="shared" si="0"/>
        <v>1.1655</v>
      </c>
      <c r="F33" s="3">
        <f t="shared" si="1"/>
        <v>9.9999999999988987E-4</v>
      </c>
      <c r="G33" s="3">
        <f>IF(E33="","",E33-$F$4)</f>
        <v>5.9999999999993392E-4</v>
      </c>
      <c r="H33" s="3">
        <f t="shared" si="2"/>
        <v>4.9999999999988986E-7</v>
      </c>
      <c r="I33" s="21"/>
      <c r="J33" s="23"/>
      <c r="K33" s="30"/>
      <c r="L33" s="16"/>
      <c r="M33" s="16"/>
    </row>
    <row r="34" spans="1:16" ht="18.75" customHeight="1" x14ac:dyDescent="0.25">
      <c r="A34" s="3">
        <f>IF(C34="","",18)</f>
        <v>18</v>
      </c>
      <c r="B34" s="51">
        <v>42222</v>
      </c>
      <c r="C34" s="52">
        <v>1.1646000000000001</v>
      </c>
      <c r="D34" s="52">
        <v>1.1657</v>
      </c>
      <c r="E34" s="3">
        <f t="shared" si="0"/>
        <v>1.1651500000000001</v>
      </c>
      <c r="F34" s="3">
        <f t="shared" si="1"/>
        <v>1.0999999999998789E-3</v>
      </c>
      <c r="G34" s="3">
        <f>IF(E34="","",E34-$F$4)</f>
        <v>2.5000000000008349E-4</v>
      </c>
      <c r="H34" s="3">
        <f t="shared" si="2"/>
        <v>6.0499999999986673E-7</v>
      </c>
      <c r="I34" s="21"/>
      <c r="J34" s="23"/>
      <c r="K34" s="19" t="s">
        <v>13</v>
      </c>
      <c r="L34" s="16"/>
      <c r="M34" s="16"/>
    </row>
    <row r="35" spans="1:16" ht="18.75" customHeight="1" x14ac:dyDescent="0.25">
      <c r="A35" s="3">
        <f>IF(C35="","",19)</f>
        <v>19</v>
      </c>
      <c r="B35" s="51">
        <v>42248</v>
      </c>
      <c r="C35" s="52">
        <v>1.163</v>
      </c>
      <c r="D35" s="52">
        <v>1.165</v>
      </c>
      <c r="E35" s="3">
        <f t="shared" si="0"/>
        <v>1.1640000000000001</v>
      </c>
      <c r="F35" s="3">
        <f t="shared" si="1"/>
        <v>2.0000000000000018E-3</v>
      </c>
      <c r="G35" s="3">
        <f>IF(E35="","",E35-$F$4)</f>
        <v>-8.9999999999990088E-4</v>
      </c>
      <c r="H35" s="3">
        <f t="shared" si="2"/>
        <v>2.0000000000000037E-6</v>
      </c>
      <c r="I35" s="21"/>
      <c r="J35" s="23"/>
      <c r="K35" s="18" t="s">
        <v>15</v>
      </c>
      <c r="L35" s="16"/>
      <c r="M35" s="16"/>
    </row>
    <row r="36" spans="1:16" ht="18.75" customHeight="1" x14ac:dyDescent="0.25">
      <c r="A36" s="3">
        <f>IF(C36="","",20)</f>
        <v>20</v>
      </c>
      <c r="B36" s="51">
        <v>42256</v>
      </c>
      <c r="C36" s="52">
        <v>1.1652</v>
      </c>
      <c r="D36" s="52">
        <v>1.1649</v>
      </c>
      <c r="E36" s="3">
        <f t="shared" si="0"/>
        <v>1.1650499999999999</v>
      </c>
      <c r="F36" s="3">
        <f t="shared" si="1"/>
        <v>2.9999999999996696E-4</v>
      </c>
      <c r="G36" s="3">
        <f>IF(E36="","",E36-$F$4)</f>
        <v>1.4999999999987246E-4</v>
      </c>
      <c r="H36" s="3">
        <f t="shared" si="2"/>
        <v>4.4999999999990093E-8</v>
      </c>
      <c r="I36" s="21"/>
      <c r="J36" s="23"/>
      <c r="K36" s="31">
        <f>ROUND(_xlfn.T.INV.2T(0.05,COUNT(E17:E41)-1),2)</f>
        <v>2.06</v>
      </c>
      <c r="L36" s="16"/>
      <c r="M36" s="16"/>
    </row>
    <row r="37" spans="1:16" ht="18.75" customHeight="1" x14ac:dyDescent="0.25">
      <c r="A37" s="3">
        <f>IF(C37="","",21)</f>
        <v>21</v>
      </c>
      <c r="B37" s="51">
        <v>42265</v>
      </c>
      <c r="C37" s="52">
        <v>1.1647000000000001</v>
      </c>
      <c r="D37" s="52">
        <v>1.1638999999999999</v>
      </c>
      <c r="E37" s="3">
        <f t="shared" si="0"/>
        <v>1.1642999999999999</v>
      </c>
      <c r="F37" s="3">
        <f t="shared" si="1"/>
        <v>8.0000000000013394E-4</v>
      </c>
      <c r="G37" s="3">
        <f>IF(E37="","",E37-$F$4)</f>
        <v>-6.0000000000015596E-4</v>
      </c>
      <c r="H37" s="3">
        <f t="shared" si="2"/>
        <v>3.2000000000010716E-7</v>
      </c>
      <c r="I37" s="21"/>
      <c r="J37" s="23"/>
      <c r="K37" s="32"/>
      <c r="L37" s="16"/>
      <c r="M37" s="16"/>
      <c r="P37" s="9"/>
    </row>
    <row r="38" spans="1:16" ht="18.75" customHeight="1" x14ac:dyDescent="0.25">
      <c r="A38" s="3">
        <f>IF(C38="","",22)</f>
        <v>22</v>
      </c>
      <c r="B38" s="51">
        <v>42291</v>
      </c>
      <c r="C38" s="52">
        <v>1.165</v>
      </c>
      <c r="D38" s="52">
        <v>1.1639999999999999</v>
      </c>
      <c r="E38" s="3">
        <f t="shared" si="0"/>
        <v>1.1644999999999999</v>
      </c>
      <c r="F38" s="3">
        <f t="shared" si="1"/>
        <v>1.0000000000001119E-3</v>
      </c>
      <c r="G38" s="3">
        <f>IF(E38="","",E38-$F$4)</f>
        <v>-4.0000000000017799E-4</v>
      </c>
      <c r="H38" s="3">
        <f t="shared" si="2"/>
        <v>5.0000000000011189E-7</v>
      </c>
      <c r="I38" s="21"/>
      <c r="J38" s="23"/>
      <c r="K38" s="14"/>
      <c r="L38" s="16"/>
      <c r="M38" s="16"/>
    </row>
    <row r="39" spans="1:16" ht="18.75" customHeight="1" x14ac:dyDescent="0.25">
      <c r="A39" s="3">
        <f>IF(C39="","",23)</f>
        <v>23</v>
      </c>
      <c r="B39" s="51">
        <v>42310</v>
      </c>
      <c r="C39" s="52">
        <v>1.165</v>
      </c>
      <c r="D39" s="52">
        <v>1.165</v>
      </c>
      <c r="E39" s="3">
        <f t="shared" si="0"/>
        <v>1.165</v>
      </c>
      <c r="F39" s="3">
        <f t="shared" si="1"/>
        <v>0</v>
      </c>
      <c r="G39" s="3">
        <f>IF(E39="","",E39-$F$4)</f>
        <v>9.9999999999988987E-5</v>
      </c>
      <c r="H39" s="3">
        <f t="shared" si="2"/>
        <v>0</v>
      </c>
      <c r="I39" s="21"/>
      <c r="J39" s="23"/>
      <c r="K39" s="14"/>
      <c r="L39" s="16"/>
      <c r="M39" s="16"/>
    </row>
    <row r="40" spans="1:16" ht="18.75" customHeight="1" x14ac:dyDescent="0.25">
      <c r="A40" s="3">
        <f>IF(C40="","",24)</f>
        <v>24</v>
      </c>
      <c r="B40" s="51">
        <v>42340</v>
      </c>
      <c r="C40" s="52">
        <v>1.1659999999999999</v>
      </c>
      <c r="D40" s="52">
        <v>1.165</v>
      </c>
      <c r="E40" s="3">
        <f t="shared" si="0"/>
        <v>1.1655</v>
      </c>
      <c r="F40" s="3">
        <f t="shared" si="1"/>
        <v>9.9999999999988987E-4</v>
      </c>
      <c r="G40" s="3">
        <f>IF(E40="","",E40-$F$4)</f>
        <v>5.9999999999993392E-4</v>
      </c>
      <c r="H40" s="3">
        <f t="shared" si="2"/>
        <v>4.9999999999988986E-7</v>
      </c>
      <c r="I40" s="21"/>
      <c r="J40" s="23"/>
      <c r="K40" s="14"/>
      <c r="L40" s="16"/>
      <c r="M40" s="16"/>
    </row>
    <row r="41" spans="1:16" ht="18.75" customHeight="1" x14ac:dyDescent="0.25">
      <c r="A41" s="3">
        <f>IF(C41="","",25)</f>
        <v>25</v>
      </c>
      <c r="B41" s="51">
        <v>42495</v>
      </c>
      <c r="C41" s="52">
        <v>1.1659999999999999</v>
      </c>
      <c r="D41" s="52">
        <v>1.1639999999999999</v>
      </c>
      <c r="E41" s="3">
        <f t="shared" si="0"/>
        <v>1.165</v>
      </c>
      <c r="F41" s="3">
        <f t="shared" si="1"/>
        <v>2.0000000000000018E-3</v>
      </c>
      <c r="G41" s="3">
        <f>IF(E41="","",E41-$F$4)</f>
        <v>9.9999999999988987E-5</v>
      </c>
      <c r="H41" s="3">
        <f t="shared" si="2"/>
        <v>2.0000000000000037E-6</v>
      </c>
      <c r="I41" s="22"/>
      <c r="J41" s="24"/>
      <c r="K41" s="10"/>
      <c r="L41" s="17"/>
      <c r="M41" s="17"/>
    </row>
    <row r="42" spans="1:16" ht="15.75" x14ac:dyDescent="0.25">
      <c r="A42" s="1"/>
      <c r="B42" s="1"/>
      <c r="C42" s="1"/>
      <c r="D42" s="1"/>
    </row>
    <row r="43" spans="1:16" ht="15.75" x14ac:dyDescent="0.25">
      <c r="A43" s="1"/>
      <c r="B43" s="1"/>
      <c r="C43" s="1"/>
      <c r="D43" s="1"/>
    </row>
    <row r="44" spans="1:16" ht="15.75" x14ac:dyDescent="0.25">
      <c r="A44" s="1"/>
      <c r="B44" s="1"/>
      <c r="C44" s="1"/>
      <c r="D44" s="1"/>
    </row>
    <row r="45" spans="1:16" ht="15.75" x14ac:dyDescent="0.25">
      <c r="A45" s="1"/>
      <c r="B45" s="1"/>
      <c r="C45" s="1"/>
      <c r="D45" s="1"/>
    </row>
    <row r="46" spans="1:16" ht="15.75" x14ac:dyDescent="0.25">
      <c r="A46" s="1"/>
      <c r="B46" s="1"/>
      <c r="C46" s="1"/>
      <c r="D46" s="1"/>
    </row>
    <row r="47" spans="1:16" ht="15.75" x14ac:dyDescent="0.25">
      <c r="A47" s="1"/>
      <c r="B47" s="1"/>
      <c r="C47" s="1"/>
      <c r="D47" s="1"/>
    </row>
    <row r="48" spans="1:16" ht="15.75" x14ac:dyDescent="0.25">
      <c r="A48" s="1"/>
      <c r="B48" s="1"/>
      <c r="C48" s="1"/>
      <c r="D48" s="1"/>
    </row>
    <row r="49" spans="1:4" ht="15.75" x14ac:dyDescent="0.25">
      <c r="A49" s="1"/>
      <c r="B49" s="1"/>
      <c r="C49" s="1"/>
      <c r="D49" s="1"/>
    </row>
  </sheetData>
  <sheetProtection formatCells="0" formatColumns="0" formatRows="0"/>
  <mergeCells count="15">
    <mergeCell ref="K32:K33"/>
    <mergeCell ref="K36:K37"/>
    <mergeCell ref="A1:M1"/>
    <mergeCell ref="K18:K22"/>
    <mergeCell ref="A7:C7"/>
    <mergeCell ref="A8:C8"/>
    <mergeCell ref="A9:C9"/>
    <mergeCell ref="A10:C10"/>
    <mergeCell ref="A11:C11"/>
    <mergeCell ref="A12:C12"/>
    <mergeCell ref="A13:C13"/>
    <mergeCell ref="A14:E14"/>
    <mergeCell ref="A3:E3"/>
    <mergeCell ref="A4:E4"/>
    <mergeCell ref="A5:E5"/>
  </mergeCells>
  <pageMargins left="0.39370078740157483" right="0.39370078740157483" top="0.39370078740157483" bottom="0.39370078740157483" header="0.19685039370078741" footer="0.19685039370078741"/>
  <pageSetup paperSize="9" scale="67" fitToHeight="0" orientation="landscape" r:id="rId1"/>
  <colBreaks count="1" manualBreakCount="1">
    <brk id="1" max="132" man="1"/>
  </colBreaks>
  <ignoredErrors>
    <ignoredError sqref="E17:E41 H17:H41" formulaRange="1"/>
    <ignoredError sqref="E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2018-11-05T02:34:43Z</dcterms:modified>
</cp:coreProperties>
</file>